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all.co.humboldt.ca.us\dhhs-files\MCO\QUALITY ASSURANCE &amp; UTILIZATION REVIEW\SV CQI-P and T - Infection Control Meetings\FY 25-26 SV CQI Meetings\2026-02-25\"/>
    </mc:Choice>
  </mc:AlternateContent>
  <xr:revisionPtr revIDLastSave="0" documentId="13_ncr:1_{43FAD68D-7765-490D-93F8-9029B4932680}" xr6:coauthVersionLast="47" xr6:coauthVersionMax="47" xr10:uidLastSave="{00000000-0000-0000-0000-000000000000}"/>
  <bookViews>
    <workbookView xWindow="17265" yWindow="-15900" windowWidth="26220" windowHeight="14190" xr2:uid="{00000000-000D-0000-FFFF-FFFF00000000}"/>
  </bookViews>
  <sheets>
    <sheet name="Sheet1" sheetId="1" r:id="rId1"/>
  </sheets>
  <definedNames>
    <definedName name="_Hlk208238473" localSheetId="0">Sheet1!$A$46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43" i="1" l="1"/>
  <c r="AZ43" i="1"/>
  <c r="AY28" i="1" l="1"/>
  <c r="AY5" i="1" l="1"/>
  <c r="AY6" i="1"/>
  <c r="AY8" i="1"/>
  <c r="AY9" i="1"/>
  <c r="AY10" i="1"/>
  <c r="AY11" i="1"/>
  <c r="AY12" i="1"/>
  <c r="AY13" i="1"/>
  <c r="AY15" i="1"/>
  <c r="AY16" i="1"/>
  <c r="AY17" i="1"/>
  <c r="AY19" i="1"/>
  <c r="AY20" i="1"/>
  <c r="AY22" i="1"/>
  <c r="AY23" i="1"/>
  <c r="AY24" i="1"/>
  <c r="AY25" i="1"/>
  <c r="AY26" i="1"/>
  <c r="AY27" i="1"/>
  <c r="AY30" i="1"/>
  <c r="AY31" i="1"/>
  <c r="AY32" i="1"/>
  <c r="AY33" i="1"/>
  <c r="AY34" i="1"/>
  <c r="AY35" i="1"/>
  <c r="AY38" i="1"/>
  <c r="AY39" i="1"/>
  <c r="AY41" i="1"/>
  <c r="AY4" i="1"/>
  <c r="AT6" i="1"/>
  <c r="AX43" i="1"/>
  <c r="AW43" i="1"/>
  <c r="AU43" i="1"/>
  <c r="AR43" i="1"/>
  <c r="AV43" i="1"/>
  <c r="AS41" i="1"/>
  <c r="AT41" i="1" s="1"/>
  <c r="AS39" i="1"/>
  <c r="AT39" i="1" s="1"/>
  <c r="AS38" i="1"/>
  <c r="AT38" i="1" s="1"/>
  <c r="AS35" i="1"/>
  <c r="AT35" i="1" s="1"/>
  <c r="AS34" i="1"/>
  <c r="AT34" i="1" s="1"/>
  <c r="AS33" i="1"/>
  <c r="AT33" i="1" s="1"/>
  <c r="AS32" i="1"/>
  <c r="AT32" i="1" s="1"/>
  <c r="AS31" i="1"/>
  <c r="AT31" i="1" s="1"/>
  <c r="AS30" i="1"/>
  <c r="AT30" i="1" s="1"/>
  <c r="AS28" i="1"/>
  <c r="AT28" i="1" s="1"/>
  <c r="AS27" i="1"/>
  <c r="AT27" i="1" s="1"/>
  <c r="AS26" i="1"/>
  <c r="AT26" i="1" s="1"/>
  <c r="AS25" i="1"/>
  <c r="AT25" i="1" s="1"/>
  <c r="AS24" i="1"/>
  <c r="AT24" i="1" s="1"/>
  <c r="AS23" i="1"/>
  <c r="AT23" i="1" s="1"/>
  <c r="AS22" i="1"/>
  <c r="AT22" i="1" s="1"/>
  <c r="AS20" i="1"/>
  <c r="AT20" i="1" s="1"/>
  <c r="AS19" i="1"/>
  <c r="AT19" i="1" s="1"/>
  <c r="AS17" i="1"/>
  <c r="AT17" i="1" s="1"/>
  <c r="AS16" i="1"/>
  <c r="AT16" i="1" s="1"/>
  <c r="AS15" i="1"/>
  <c r="AT15" i="1" s="1"/>
  <c r="AS14" i="1"/>
  <c r="AT14" i="1" s="1"/>
  <c r="AS13" i="1"/>
  <c r="AT13" i="1" s="1"/>
  <c r="AS12" i="1"/>
  <c r="AT12" i="1" s="1"/>
  <c r="AS11" i="1"/>
  <c r="AT11" i="1" s="1"/>
  <c r="AS10" i="1"/>
  <c r="AT10" i="1" s="1"/>
  <c r="AS9" i="1"/>
  <c r="AT9" i="1" s="1"/>
  <c r="AS8" i="1"/>
  <c r="AT8" i="1" s="1"/>
  <c r="AS5" i="1"/>
  <c r="AS4" i="1"/>
  <c r="AT4" i="1" s="1"/>
  <c r="AQ43" i="1"/>
  <c r="AN43" i="1"/>
  <c r="AO43" i="1"/>
  <c r="AP43" i="1"/>
  <c r="AM43" i="1"/>
  <c r="Z43" i="1"/>
  <c r="AF43" i="1"/>
  <c r="AG43" i="1"/>
  <c r="AK43" i="1"/>
  <c r="AL43" i="1"/>
  <c r="AI20" i="1"/>
  <c r="AI43" i="1" s="1"/>
  <c r="AH41" i="1"/>
  <c r="AJ41" i="1" s="1"/>
  <c r="AH39" i="1"/>
  <c r="AJ39" i="1" s="1"/>
  <c r="AH38" i="1"/>
  <c r="AJ38" i="1" s="1"/>
  <c r="AH35" i="1"/>
  <c r="AJ35" i="1" s="1"/>
  <c r="AH34" i="1"/>
  <c r="AJ34" i="1" s="1"/>
  <c r="AH33" i="1"/>
  <c r="AJ33" i="1" s="1"/>
  <c r="AH32" i="1"/>
  <c r="AJ32" i="1" s="1"/>
  <c r="AH31" i="1"/>
  <c r="AJ31" i="1" s="1"/>
  <c r="AH30" i="1"/>
  <c r="AJ30" i="1" s="1"/>
  <c r="AH24" i="1"/>
  <c r="AJ24" i="1" s="1"/>
  <c r="AH25" i="1"/>
  <c r="AJ25" i="1" s="1"/>
  <c r="AH26" i="1"/>
  <c r="AJ26" i="1" s="1"/>
  <c r="AH27" i="1"/>
  <c r="AJ27" i="1" s="1"/>
  <c r="AH28" i="1"/>
  <c r="AJ28" i="1" s="1"/>
  <c r="AH23" i="1"/>
  <c r="AJ23" i="1" s="1"/>
  <c r="AH22" i="1"/>
  <c r="AJ22" i="1" s="1"/>
  <c r="AH20" i="1"/>
  <c r="AH19" i="1"/>
  <c r="AJ19" i="1" s="1"/>
  <c r="AH17" i="1"/>
  <c r="AJ17" i="1" s="1"/>
  <c r="AH16" i="1"/>
  <c r="AJ16" i="1" s="1"/>
  <c r="AH15" i="1"/>
  <c r="AJ15" i="1" s="1"/>
  <c r="AH14" i="1"/>
  <c r="AJ14" i="1" s="1"/>
  <c r="AH13" i="1"/>
  <c r="AJ13" i="1" s="1"/>
  <c r="AH9" i="1"/>
  <c r="AJ9" i="1" s="1"/>
  <c r="AH10" i="1"/>
  <c r="AJ10" i="1" s="1"/>
  <c r="AH11" i="1"/>
  <c r="AJ11" i="1" s="1"/>
  <c r="AH12" i="1"/>
  <c r="AJ12" i="1" s="1"/>
  <c r="AH8" i="1"/>
  <c r="AJ8" i="1" s="1"/>
  <c r="AH5" i="1"/>
  <c r="AH4" i="1"/>
  <c r="AJ4" i="1" s="1"/>
  <c r="AE6" i="1"/>
  <c r="AD41" i="1"/>
  <c r="AD39" i="1"/>
  <c r="AD34" i="1"/>
  <c r="AD32" i="1"/>
  <c r="AD31" i="1"/>
  <c r="AD22" i="1"/>
  <c r="AD20" i="1"/>
  <c r="AD15" i="1"/>
  <c r="AD13" i="1"/>
  <c r="AY43" i="1" l="1"/>
  <c r="AS43" i="1"/>
  <c r="AT5" i="1"/>
  <c r="AJ20" i="1"/>
  <c r="AH43" i="1"/>
  <c r="AD43" i="1"/>
  <c r="AJ5" i="1"/>
  <c r="AJ43" i="1" s="1"/>
  <c r="AC15" i="1"/>
  <c r="AC43" i="1" s="1"/>
  <c r="AB41" i="1" l="1"/>
  <c r="AB39" i="1"/>
  <c r="AB38" i="1"/>
  <c r="AB35" i="1"/>
  <c r="AB34" i="1"/>
  <c r="AB4" i="1"/>
  <c r="AB33" i="1"/>
  <c r="AB32" i="1"/>
  <c r="AB31" i="1"/>
  <c r="AB30" i="1"/>
  <c r="AB28" i="1"/>
  <c r="AB27" i="1"/>
  <c r="AB24" i="1"/>
  <c r="AB23" i="1"/>
  <c r="AB22" i="1"/>
  <c r="AB20" i="1"/>
  <c r="AB19" i="1"/>
  <c r="AB17" i="1"/>
  <c r="AB16" i="1"/>
  <c r="AB15" i="1"/>
  <c r="AB14" i="1"/>
  <c r="AB13" i="1"/>
  <c r="AB12" i="1"/>
  <c r="AB11" i="1"/>
  <c r="AB10" i="1"/>
  <c r="AB9" i="1"/>
  <c r="AB5" i="1" l="1"/>
  <c r="AB8" i="1"/>
  <c r="AB43" i="1" l="1"/>
  <c r="AA41" i="1"/>
  <c r="AE41" i="1" s="1"/>
  <c r="AA39" i="1"/>
  <c r="AE39" i="1" s="1"/>
  <c r="AA38" i="1"/>
  <c r="AE38" i="1" s="1"/>
  <c r="AA35" i="1"/>
  <c r="AE35" i="1" s="1"/>
  <c r="AA34" i="1"/>
  <c r="AE34" i="1" s="1"/>
  <c r="AA33" i="1"/>
  <c r="AE33" i="1" s="1"/>
  <c r="AA32" i="1"/>
  <c r="AE32" i="1" s="1"/>
  <c r="AA31" i="1"/>
  <c r="AE31" i="1" s="1"/>
  <c r="AA30" i="1"/>
  <c r="AE30" i="1" s="1"/>
  <c r="AA28" i="1"/>
  <c r="AE28" i="1" s="1"/>
  <c r="AA27" i="1"/>
  <c r="AE27" i="1" s="1"/>
  <c r="AA24" i="1"/>
  <c r="AE24" i="1" s="1"/>
  <c r="AA23" i="1"/>
  <c r="AE23" i="1" s="1"/>
  <c r="AA22" i="1"/>
  <c r="AE22" i="1" s="1"/>
  <c r="AA20" i="1"/>
  <c r="AE20" i="1" s="1"/>
  <c r="AA19" i="1"/>
  <c r="AE19" i="1" s="1"/>
  <c r="AA17" i="1"/>
  <c r="AE17" i="1" s="1"/>
  <c r="AA16" i="1"/>
  <c r="AE16" i="1" s="1"/>
  <c r="AA15" i="1"/>
  <c r="AE15" i="1" s="1"/>
  <c r="AA14" i="1"/>
  <c r="AE14" i="1" s="1"/>
  <c r="AA13" i="1"/>
  <c r="AE13" i="1" s="1"/>
  <c r="AA11" i="1"/>
  <c r="AE11" i="1" s="1"/>
  <c r="AA12" i="1"/>
  <c r="AE12" i="1" s="1"/>
  <c r="AA10" i="1"/>
  <c r="AE10" i="1" s="1"/>
  <c r="AA9" i="1"/>
  <c r="AE9" i="1" s="1"/>
  <c r="AA8" i="1"/>
  <c r="AE8" i="1" s="1"/>
  <c r="AA5" i="1"/>
  <c r="AE5" i="1" s="1"/>
  <c r="AA4" i="1"/>
  <c r="AE4" i="1" l="1"/>
  <c r="AA43" i="1"/>
  <c r="Y34" i="1"/>
  <c r="Y41" i="1"/>
  <c r="Y35" i="1"/>
  <c r="Y33" i="1"/>
  <c r="Y32" i="1"/>
  <c r="Y31" i="1"/>
  <c r="Y30" i="1"/>
  <c r="Y20" i="1"/>
  <c r="Y19" i="1"/>
  <c r="Y13" i="1"/>
  <c r="Y5" i="1"/>
  <c r="Y43" i="1" l="1"/>
  <c r="X41" i="1"/>
  <c r="X39" i="1"/>
  <c r="X35" i="1"/>
  <c r="X34" i="1"/>
  <c r="X33" i="1"/>
  <c r="X31" i="1"/>
  <c r="X22" i="1"/>
  <c r="X20" i="1"/>
  <c r="X12" i="1"/>
  <c r="X5" i="1"/>
  <c r="X43" i="1" l="1"/>
  <c r="W43" i="1"/>
  <c r="S43" i="1" l="1"/>
  <c r="T43" i="1"/>
  <c r="Q43" i="1"/>
  <c r="V41" i="1"/>
  <c r="P4" i="1"/>
  <c r="V39" i="1"/>
  <c r="V38" i="1"/>
  <c r="V35" i="1"/>
  <c r="V34" i="1"/>
  <c r="V33" i="1"/>
  <c r="V32" i="1"/>
  <c r="V31" i="1"/>
  <c r="V30" i="1"/>
  <c r="V28" i="1"/>
  <c r="V27" i="1"/>
  <c r="V24" i="1"/>
  <c r="V23" i="1"/>
  <c r="V22" i="1"/>
  <c r="V20" i="1"/>
  <c r="V19" i="1"/>
  <c r="R5" i="1"/>
  <c r="U5" i="1"/>
  <c r="U6" i="1"/>
  <c r="V8" i="1"/>
  <c r="V5" i="1"/>
  <c r="V16" i="1"/>
  <c r="V14" i="1"/>
  <c r="V13" i="1"/>
  <c r="V17" i="1"/>
  <c r="V15" i="1"/>
  <c r="V12" i="1"/>
  <c r="V11" i="1"/>
  <c r="V10" i="1"/>
  <c r="V9" i="1"/>
  <c r="V4" i="1"/>
  <c r="N43" i="1"/>
  <c r="R41" i="1"/>
  <c r="U41" i="1"/>
  <c r="R39" i="1"/>
  <c r="U39" i="1"/>
  <c r="U38" i="1"/>
  <c r="R35" i="1"/>
  <c r="U35" i="1" s="1"/>
  <c r="R34" i="1"/>
  <c r="U34" i="1" s="1"/>
  <c r="R33" i="1"/>
  <c r="U33" i="1" s="1"/>
  <c r="R32" i="1"/>
  <c r="U32" i="1" s="1"/>
  <c r="R31" i="1"/>
  <c r="U31" i="1" s="1"/>
  <c r="U30" i="1"/>
  <c r="U28" i="1"/>
  <c r="R27" i="1"/>
  <c r="U27" i="1" s="1"/>
  <c r="U26" i="1"/>
  <c r="U25" i="1"/>
  <c r="U24" i="1"/>
  <c r="U23" i="1"/>
  <c r="R22" i="1"/>
  <c r="U22" i="1" s="1"/>
  <c r="R20" i="1"/>
  <c r="U20" i="1" s="1"/>
  <c r="U19" i="1"/>
  <c r="U17" i="1"/>
  <c r="U16" i="1"/>
  <c r="U15" i="1"/>
  <c r="U14" i="1"/>
  <c r="U13" i="1"/>
  <c r="U12" i="1"/>
  <c r="U11" i="1"/>
  <c r="U10" i="1"/>
  <c r="R9" i="1"/>
  <c r="U9" i="1" s="1"/>
  <c r="U8" i="1"/>
  <c r="U4" i="1"/>
  <c r="P34" i="1"/>
  <c r="P5" i="1"/>
  <c r="P6" i="1"/>
  <c r="P8" i="1"/>
  <c r="P10" i="1"/>
  <c r="P11" i="1"/>
  <c r="P12" i="1"/>
  <c r="P13" i="1"/>
  <c r="P14" i="1"/>
  <c r="P15" i="1"/>
  <c r="P16" i="1"/>
  <c r="P17" i="1"/>
  <c r="P19" i="1"/>
  <c r="P20" i="1"/>
  <c r="P22" i="1"/>
  <c r="P23" i="1"/>
  <c r="P24" i="1"/>
  <c r="P25" i="1"/>
  <c r="P26" i="1"/>
  <c r="P27" i="1"/>
  <c r="P28" i="1"/>
  <c r="P30" i="1"/>
  <c r="P31" i="1"/>
  <c r="P32" i="1"/>
  <c r="P33" i="1"/>
  <c r="P35" i="1"/>
  <c r="P38" i="1"/>
  <c r="P39" i="1"/>
  <c r="P41" i="1"/>
  <c r="P43" i="1" l="1"/>
  <c r="V43" i="1"/>
  <c r="R43" i="1"/>
  <c r="U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tc={86BF97BE-8499-49D8-9C96-56B24419A91A}</author>
    <author>tc={D1E41E28-C481-44AF-BED1-9E11D5F08037}</author>
    <author>tc={D2252BE3-B9D3-4B0B-AA13-14D0D103DA98}</author>
  </authors>
  <commentList>
    <comment ref="AP20" authorId="0" shapeId="0" xr:uid="{86BF97BE-8499-49D8-9C96-56B24419A91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MD signatures for treatment plans being provided within 72 hours is still an issue.  Previous quarter completion rate was 88%.  Currently at 6% for Quarter one of FY23-24.  Reason for the precipitous drop is being investigated.  Overall percentage compliance for measured criteria is 90%.  Significant systemic deficits have been identified and are actively being troubleshooted.
</t>
      </text>
    </comment>
    <comment ref="C36" authorId="1" shapeId="0" xr:uid="{D1E41E28-C481-44AF-BED1-9E11D5F08037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 Tracking FY 25/26 Q1</t>
      </text>
    </comment>
    <comment ref="C37" authorId="2" shapeId="0" xr:uid="{D2252BE3-B9D3-4B0B-AA13-14D0D103DA98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 Tracking FY 25/26 Q1</t>
      </text>
    </comment>
  </commentList>
</comments>
</file>

<file path=xl/sharedStrings.xml><?xml version="1.0" encoding="utf-8"?>
<sst xmlns="http://schemas.openxmlformats.org/spreadsheetml/2006/main" count="129" uniqueCount="98">
  <si>
    <t>CRITERIA MONITORED</t>
  </si>
  <si>
    <t>0%-79%</t>
  </si>
  <si>
    <t>80%-89%</t>
  </si>
  <si>
    <t>90%-100%</t>
  </si>
  <si>
    <t xml:space="preserve"> </t>
  </si>
  <si>
    <t>1st Qtr FY17/18</t>
  </si>
  <si>
    <t>2nd Qtr FY17/18</t>
  </si>
  <si>
    <t>3rd Qtr FY17/18</t>
  </si>
  <si>
    <t>4thQtr FY17/18</t>
  </si>
  <si>
    <t>fy 17/18 avg</t>
  </si>
  <si>
    <t>SV Psychiatric Prescribers</t>
  </si>
  <si>
    <t xml:space="preserve">  A. Is an admission and discharge order present?</t>
  </si>
  <si>
    <r>
      <t xml:space="preserve">I.  ORDERS - </t>
    </r>
    <r>
      <rPr>
        <sz val="10"/>
        <color theme="1"/>
        <rFont val="Times New Roman"/>
        <family val="1"/>
      </rPr>
      <t>2003 Admission/2060 Discharge</t>
    </r>
  </si>
  <si>
    <t xml:space="preserve">  C. For admission TO/VO order, was the provisional Dx listed?</t>
  </si>
  <si>
    <t xml:space="preserve">  A. Is the Psych Eval completed within 60 hours of admission</t>
  </si>
  <si>
    <t xml:space="preserve">  B. Medical Hx documented or reason not documented noted?</t>
  </si>
  <si>
    <t xml:space="preserve">  C. Onset of illness listed and adequately described?</t>
  </si>
  <si>
    <t xml:space="preserve">  D. Circumstances leading to admission listed?</t>
  </si>
  <si>
    <t xml:space="preserve">  E. functional impairments related to admission listed?</t>
  </si>
  <si>
    <t xml:space="preserve">  G. Medication consent box checked?</t>
  </si>
  <si>
    <t xml:space="preserve">  H. Mental Status Exam completed?</t>
  </si>
  <si>
    <t xml:space="preserve">  I. Is the allergies field marked yes?</t>
  </si>
  <si>
    <t xml:space="preserve">  J. If the allergies field is marked yes, is the Allergies &amp; Hypersensitivities form filled out?</t>
  </si>
  <si>
    <r>
      <t xml:space="preserve">3.TREATMENT PLANS - </t>
    </r>
    <r>
      <rPr>
        <sz val="10"/>
        <color theme="1"/>
        <rFont val="Times New Roman"/>
        <family val="1"/>
      </rPr>
      <t>2056</t>
    </r>
  </si>
  <si>
    <t xml:space="preserve">   A.  MD Interventions for Rx listed?</t>
  </si>
  <si>
    <t xml:space="preserve">   B. MD Signature within 72 hours?</t>
  </si>
  <si>
    <t xml:space="preserve">   A. Rationale/ response to medication changes documented?</t>
  </si>
  <si>
    <t xml:space="preserve">   B. Medical Necessity documented?</t>
  </si>
  <si>
    <t xml:space="preserve">   C. Progress Note completed for every day required?</t>
  </si>
  <si>
    <t xml:space="preserve">   D. Progress note references treatment plan?</t>
  </si>
  <si>
    <t xml:space="preserve">   E. Changes in treatment plan noted?</t>
  </si>
  <si>
    <t xml:space="preserve">   F. Plan section of note completed?</t>
  </si>
  <si>
    <t>5.  GENERAL DOCUMENTATION</t>
  </si>
  <si>
    <t xml:space="preserve">  B. 2071 Med Advisement signed by Client/or representative before discharge?    </t>
  </si>
  <si>
    <t xml:space="preserve">  C. Medication side effects list provided?</t>
  </si>
  <si>
    <t xml:space="preserve">  D. PE signed by MD (within 24 hours after completed by physical examiner)</t>
  </si>
  <si>
    <t>6. Discharge Summary</t>
  </si>
  <si>
    <t>OVERALL PERCENT COMPLIANCE</t>
  </si>
  <si>
    <t xml:space="preserve">  F. Strengths listed and adequately described?</t>
  </si>
  <si>
    <t xml:space="preserve">  A. 2071 Med Advisement signed by MD before discharge?    </t>
  </si>
  <si>
    <t xml:space="preserve">  B. For TO/VO orders, were they signed by MD within 24 hours? </t>
  </si>
  <si>
    <t xml:space="preserve">  G.  Progress Note finalized?</t>
  </si>
  <si>
    <t xml:space="preserve">  E.  Is Daily Self Harm Observation Assessment completed?</t>
  </si>
  <si>
    <t xml:space="preserve">  G. Is there a covered Psych Dx on the Admission Dx Form?</t>
  </si>
  <si>
    <t xml:space="preserve">  H. Is there a covered Psych Dx on the Discharged Dx Form</t>
  </si>
  <si>
    <t>1st Qtr FY18/19</t>
  </si>
  <si>
    <t>2nd Qtr FY18/19</t>
  </si>
  <si>
    <t>3rd Qtr FY18/19</t>
  </si>
  <si>
    <t>4thQtr FY18/19</t>
  </si>
  <si>
    <t xml:space="preserve">  A. Is Summary completed within 30 days of discharge?</t>
  </si>
  <si>
    <t>Discontinued per committee</t>
  </si>
  <si>
    <t>n/a</t>
  </si>
  <si>
    <t>N/A</t>
  </si>
  <si>
    <t>2.  IP Psych Note</t>
  </si>
  <si>
    <t>4.  Daily (IP) Psych Note</t>
  </si>
  <si>
    <t>(Yes or No)</t>
  </si>
  <si>
    <t xml:space="preserve">  F. Medical Dx is listed on the Diagnostic form (if medical 
       conditions are noted on the 2031 PE form, 2025 Nursing 
       Assessment, 1096 Assessment, 2017 Nursing Screening or 
       Progress Note?)</t>
  </si>
  <si>
    <t>a.       YES: Unlikely to change/resolve before discharge 
           (e.g. HTN, DM, Sleep Apnea, Hypothyroidism, Hepatitis C, etc.)</t>
  </si>
  <si>
    <t>b.       NO: Likely to change/resolve before or soon after discharge with 
            treatment (e.g. Lice, Abscess, Scabies, etc.)</t>
  </si>
  <si>
    <t>a.       YES: If untreated, could lead to medical complications/death 
            (e.g. Hypothyroidism, DM, HTN, etc.)</t>
  </si>
  <si>
    <t>b.       NO: Unlikely to lead to medical complications/death without 
             treatment (e.g. Lice, blisters, minor infections, superficial 
             cuts, etc.)</t>
  </si>
  <si>
    <t>FY 25/26 Q1</t>
  </si>
  <si>
    <t>FY 18/19 AVG</t>
  </si>
  <si>
    <t>FY19/20 Q1</t>
  </si>
  <si>
    <t xml:space="preserve">FY19/20 Q2 </t>
  </si>
  <si>
    <t>FY19/20 Q3</t>
  </si>
  <si>
    <t>FY19/20 Q4</t>
  </si>
  <si>
    <t>FY 19/20 AVG</t>
  </si>
  <si>
    <t>FY20/21 Q1</t>
  </si>
  <si>
    <t>FY20/21 Q2</t>
  </si>
  <si>
    <t>FY20/21 Q3</t>
  </si>
  <si>
    <t>FY20/21 Q4</t>
  </si>
  <si>
    <t>FY 20/21 AVG</t>
  </si>
  <si>
    <t>FY21/22 Q1</t>
  </si>
  <si>
    <t>FY21/22 Q2</t>
  </si>
  <si>
    <t>FY21/22 Q3</t>
  </si>
  <si>
    <t>FY21/22 Q4</t>
  </si>
  <si>
    <t>FY 21/22 AVG</t>
  </si>
  <si>
    <t>FY22/23 Q1</t>
  </si>
  <si>
    <t>FY22/23 Q2</t>
  </si>
  <si>
    <t>FY22/23 Q3</t>
  </si>
  <si>
    <t>FY22/23 Q4</t>
  </si>
  <si>
    <t>FY 22/23 AVG</t>
  </si>
  <si>
    <t>FY23/24 Q1</t>
  </si>
  <si>
    <t>FY23/24 Q2</t>
  </si>
  <si>
    <t>FY23/24 Q3</t>
  </si>
  <si>
    <t>FY23/24 Q4</t>
  </si>
  <si>
    <t>FY 23/24 AVG</t>
  </si>
  <si>
    <t>FY24/25% Q1</t>
  </si>
  <si>
    <t>FY24/25 Q2</t>
  </si>
  <si>
    <t>FY24/25 Q3</t>
  </si>
  <si>
    <t>FY24/25 Q4</t>
  </si>
  <si>
    <t>FY 24/25 AVG</t>
  </si>
  <si>
    <r>
      <t xml:space="preserve">5F2.       ** If criteria is not met, 
                is the missing diagnosis a </t>
    </r>
    <r>
      <rPr>
        <b/>
        <sz val="12"/>
        <color rgb="FFFF0000"/>
        <rFont val="Arial"/>
        <family val="2"/>
      </rPr>
      <t>SEVERE</t>
    </r>
    <r>
      <rPr>
        <b/>
        <sz val="12"/>
        <color theme="1"/>
        <rFont val="Arial"/>
        <family val="2"/>
      </rPr>
      <t xml:space="preserve"> or </t>
    </r>
    <r>
      <rPr>
        <b/>
        <sz val="12"/>
        <color rgb="FFFF0000"/>
        <rFont val="Arial"/>
        <family val="2"/>
      </rPr>
      <t>SERIOUS</t>
    </r>
    <r>
      <rPr>
        <b/>
        <sz val="12"/>
        <color theme="1"/>
        <rFont val="Arial"/>
        <family val="2"/>
      </rPr>
      <t xml:space="preserve"> condition? </t>
    </r>
  </si>
  <si>
    <r>
      <t xml:space="preserve">5F1.       * If criteria is not met, 
               is the missing diagnosis a </t>
    </r>
    <r>
      <rPr>
        <b/>
        <sz val="12"/>
        <color rgb="FFFF0000"/>
        <rFont val="Arial"/>
        <family val="2"/>
      </rPr>
      <t>CHRONIC</t>
    </r>
    <r>
      <rPr>
        <b/>
        <sz val="12"/>
        <color theme="1"/>
        <rFont val="Arial"/>
        <family val="2"/>
      </rPr>
      <t xml:space="preserve"> condition? </t>
    </r>
  </si>
  <si>
    <r>
      <t>1.   If criteria is not met, 
       is the missing diagnosis a</t>
    </r>
    <r>
      <rPr>
        <sz val="10"/>
        <color rgb="FFFF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CHRONIC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condition?  *</t>
    </r>
  </si>
  <si>
    <r>
      <t xml:space="preserve">2.   If criteria is not met, 
       is the missing diagnosis a </t>
    </r>
    <r>
      <rPr>
        <b/>
        <sz val="10"/>
        <color rgb="FFFF0000"/>
        <rFont val="Calibri"/>
        <family val="2"/>
      </rPr>
      <t>SEVERE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or</t>
    </r>
    <r>
      <rPr>
        <sz val="10"/>
        <color rgb="FFFF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SERIOUS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condition? **</t>
    </r>
  </si>
  <si>
    <t>FY 25/26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</si>
</sst>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2"/>
      <color theme="1"/>
      <name val="Arial"/>
      <family val="2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0FC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CFEEF"/>
        <bgColor indexed="64"/>
      </patternFill>
    </fill>
    <fill>
      <patternFill patternType="solid">
        <fgColor rgb="FFFFFFC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EF645"/>
      </left>
      <right style="thick">
        <color rgb="FF0EF645"/>
      </right>
      <top style="thin">
        <color indexed="64"/>
      </top>
      <bottom style="thin">
        <color indexed="64"/>
      </bottom>
      <diagonal/>
    </border>
    <border>
      <left style="thick">
        <color rgb="FF0EF645"/>
      </left>
      <right style="thick">
        <color rgb="FF0EF645"/>
      </right>
      <top style="medium">
        <color indexed="64"/>
      </top>
      <bottom style="thick">
        <color rgb="FF0EF645"/>
      </bottom>
      <diagonal/>
    </border>
    <border>
      <left style="thick">
        <color rgb="FF0EF645"/>
      </left>
      <right style="thick">
        <color rgb="FF0EF645"/>
      </right>
      <top style="thick">
        <color rgb="FF0EF645"/>
      </top>
      <bottom style="thin">
        <color auto="1"/>
      </bottom>
      <diagonal/>
    </border>
    <border>
      <left style="thick">
        <color rgb="FF0EF645"/>
      </left>
      <right style="thick">
        <color rgb="FF0EF645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EF645"/>
      </left>
      <right style="thick">
        <color rgb="FF0EF645"/>
      </right>
      <top style="medium">
        <color indexed="64"/>
      </top>
      <bottom style="medium">
        <color indexed="64"/>
      </bottom>
      <diagonal/>
    </border>
    <border>
      <left style="thick">
        <color rgb="FF0EF645"/>
      </left>
      <right style="thick">
        <color rgb="FF0EF645"/>
      </right>
      <top style="thick">
        <color rgb="FF0EF645"/>
      </top>
      <bottom style="thick">
        <color rgb="FF0EF645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0EF645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ck">
        <color rgb="FF0EF645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/>
    <xf numFmtId="0" fontId="0" fillId="0" borderId="0" xfId="0" applyFont="1"/>
    <xf numFmtId="0" fontId="2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9" fontId="4" fillId="0" borderId="0" xfId="0" applyNumberFormat="1" applyFont="1" applyAlignment="1">
      <alignment horizontal="left"/>
    </xf>
    <xf numFmtId="9" fontId="0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/>
    <xf numFmtId="9" fontId="2" fillId="0" borderId="0" xfId="0" applyNumberFormat="1" applyFont="1" applyAlignment="1"/>
    <xf numFmtId="0" fontId="7" fillId="0" borderId="0" xfId="0" applyFont="1" applyAlignment="1"/>
    <xf numFmtId="0" fontId="6" fillId="0" borderId="0" xfId="0" applyFont="1" applyAlignment="1"/>
    <xf numFmtId="9" fontId="0" fillId="0" borderId="0" xfId="0" applyNumberFormat="1" applyFont="1" applyAlignment="1"/>
    <xf numFmtId="9" fontId="0" fillId="0" borderId="1" xfId="0" applyNumberFormat="1" applyFont="1" applyBorder="1"/>
    <xf numFmtId="9" fontId="0" fillId="0" borderId="3" xfId="0" applyNumberFormat="1" applyFont="1" applyBorder="1"/>
    <xf numFmtId="9" fontId="0" fillId="0" borderId="0" xfId="0" applyNumberFormat="1" applyFont="1" applyBorder="1"/>
    <xf numFmtId="9" fontId="0" fillId="0" borderId="4" xfId="0" applyNumberFormat="1" applyFont="1" applyBorder="1"/>
    <xf numFmtId="9" fontId="8" fillId="0" borderId="1" xfId="0" applyNumberFormat="1" applyFont="1" applyBorder="1" applyAlignment="1">
      <alignment wrapText="1"/>
    </xf>
    <xf numFmtId="9" fontId="8" fillId="0" borderId="1" xfId="0" applyNumberFormat="1" applyFont="1" applyBorder="1"/>
    <xf numFmtId="9" fontId="8" fillId="0" borderId="0" xfId="0" applyNumberFormat="1" applyFont="1" applyAlignment="1">
      <alignment vertical="top" wrapText="1"/>
    </xf>
    <xf numFmtId="9" fontId="8" fillId="0" borderId="1" xfId="0" applyNumberFormat="1" applyFont="1" applyBorder="1" applyAlignment="1">
      <alignment vertical="top" wrapText="1"/>
    </xf>
    <xf numFmtId="9" fontId="6" fillId="0" borderId="1" xfId="0" applyNumberFormat="1" applyFont="1" applyBorder="1" applyAlignment="1">
      <alignment vertical="top" wrapText="1"/>
    </xf>
    <xf numFmtId="9" fontId="0" fillId="0" borderId="5" xfId="0" applyNumberFormat="1" applyFont="1" applyBorder="1"/>
    <xf numFmtId="9" fontId="0" fillId="0" borderId="6" xfId="0" applyNumberFormat="1" applyFont="1" applyBorder="1"/>
    <xf numFmtId="9" fontId="0" fillId="0" borderId="7" xfId="0" applyNumberFormat="1" applyFont="1" applyBorder="1"/>
    <xf numFmtId="9" fontId="0" fillId="0" borderId="8" xfId="0" applyNumberFormat="1" applyFont="1" applyBorder="1"/>
    <xf numFmtId="9" fontId="2" fillId="0" borderId="2" xfId="0" applyNumberFormat="1" applyFont="1" applyBorder="1" applyAlignment="1"/>
    <xf numFmtId="0" fontId="6" fillId="0" borderId="0" xfId="0" applyFont="1" applyBorder="1" applyAlignment="1">
      <alignment vertical="center"/>
    </xf>
    <xf numFmtId="9" fontId="2" fillId="0" borderId="0" xfId="0" applyNumberFormat="1" applyFont="1" applyBorder="1" applyAlignment="1"/>
    <xf numFmtId="9" fontId="0" fillId="0" borderId="10" xfId="0" applyNumberFormat="1" applyFont="1" applyBorder="1"/>
    <xf numFmtId="9" fontId="0" fillId="7" borderId="7" xfId="0" applyNumberFormat="1" applyFont="1" applyFill="1" applyBorder="1"/>
    <xf numFmtId="9" fontId="0" fillId="7" borderId="1" xfId="0" applyNumberFormat="1" applyFont="1" applyFill="1" applyBorder="1"/>
    <xf numFmtId="9" fontId="11" fillId="0" borderId="0" xfId="0" applyNumberFormat="1" applyFont="1" applyAlignment="1">
      <alignment horizontal="center" vertical="center"/>
    </xf>
    <xf numFmtId="9" fontId="0" fillId="0" borderId="7" xfId="0" applyNumberFormat="1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9" fontId="0" fillId="8" borderId="3" xfId="0" applyNumberFormat="1" applyFont="1" applyFill="1" applyBorder="1" applyAlignment="1">
      <alignment horizontal="center" vertical="center"/>
    </xf>
    <xf numFmtId="9" fontId="0" fillId="9" borderId="3" xfId="0" applyNumberFormat="1" applyFont="1" applyFill="1" applyBorder="1" applyAlignment="1">
      <alignment horizontal="center" vertical="center"/>
    </xf>
    <xf numFmtId="9" fontId="0" fillId="8" borderId="25" xfId="0" applyNumberFormat="1" applyFont="1" applyFill="1" applyBorder="1" applyAlignment="1">
      <alignment horizontal="center" vertical="center"/>
    </xf>
    <xf numFmtId="9" fontId="0" fillId="8" borderId="24" xfId="0" applyNumberFormat="1" applyFont="1" applyFill="1" applyBorder="1" applyAlignment="1">
      <alignment horizontal="center" vertical="center"/>
    </xf>
    <xf numFmtId="0" fontId="0" fillId="8" borderId="0" xfId="0" applyFont="1" applyFill="1" applyBorder="1"/>
    <xf numFmtId="9" fontId="0" fillId="8" borderId="0" xfId="0" applyNumberFormat="1" applyFont="1" applyFill="1" applyBorder="1"/>
    <xf numFmtId="9" fontId="10" fillId="8" borderId="0" xfId="0" applyNumberFormat="1" applyFont="1" applyFill="1" applyBorder="1"/>
    <xf numFmtId="9" fontId="10" fillId="0" borderId="7" xfId="0" applyNumberFormat="1" applyFont="1" applyBorder="1" applyAlignment="1">
      <alignment horizontal="center" vertical="center"/>
    </xf>
    <xf numFmtId="9" fontId="10" fillId="8" borderId="3" xfId="0" applyNumberFormat="1" applyFont="1" applyFill="1" applyBorder="1" applyAlignment="1">
      <alignment horizontal="center" vertical="center"/>
    </xf>
    <xf numFmtId="9" fontId="10" fillId="8" borderId="25" xfId="0" applyNumberFormat="1" applyFont="1" applyFill="1" applyBorder="1" applyAlignment="1">
      <alignment horizontal="center" vertical="center"/>
    </xf>
    <xf numFmtId="0" fontId="10" fillId="8" borderId="0" xfId="0" applyFont="1" applyFill="1" applyBorder="1"/>
    <xf numFmtId="0" fontId="10" fillId="8" borderId="3" xfId="0" applyFont="1" applyFill="1" applyBorder="1" applyAlignment="1">
      <alignment horizontal="center" vertical="center"/>
    </xf>
    <xf numFmtId="9" fontId="10" fillId="8" borderId="24" xfId="0" applyNumberFormat="1" applyFont="1" applyFill="1" applyBorder="1" applyAlignment="1">
      <alignment horizontal="center" vertical="center"/>
    </xf>
    <xf numFmtId="0" fontId="0" fillId="10" borderId="0" xfId="0" applyFont="1" applyFill="1"/>
    <xf numFmtId="9" fontId="10" fillId="9" borderId="3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2" fillId="11" borderId="1" xfId="0" applyFont="1" applyFill="1" applyBorder="1" applyAlignment="1">
      <alignment horizontal="center" vertical="center" wrapText="1"/>
    </xf>
    <xf numFmtId="9" fontId="2" fillId="11" borderId="1" xfId="0" applyNumberFormat="1" applyFont="1" applyFill="1" applyBorder="1" applyAlignment="1">
      <alignment horizontal="center" vertical="center" wrapText="1"/>
    </xf>
    <xf numFmtId="9" fontId="0" fillId="11" borderId="7" xfId="0" applyNumberFormat="1" applyFont="1" applyFill="1" applyBorder="1" applyAlignment="1">
      <alignment horizontal="center" vertical="center"/>
    </xf>
    <xf numFmtId="9" fontId="0" fillId="11" borderId="4" xfId="0" applyNumberFormat="1" applyFont="1" applyFill="1" applyBorder="1" applyAlignment="1">
      <alignment horizontal="center" vertical="center"/>
    </xf>
    <xf numFmtId="9" fontId="2" fillId="11" borderId="7" xfId="0" applyNumberFormat="1" applyFont="1" applyFill="1" applyBorder="1" applyAlignment="1">
      <alignment horizontal="center" vertical="center" wrapText="1"/>
    </xf>
    <xf numFmtId="9" fontId="2" fillId="11" borderId="9" xfId="0" applyNumberFormat="1" applyFont="1" applyFill="1" applyBorder="1" applyAlignment="1">
      <alignment horizontal="center" vertical="center" wrapText="1"/>
    </xf>
    <xf numFmtId="9" fontId="0" fillId="11" borderId="3" xfId="0" applyNumberFormat="1" applyFont="1" applyFill="1" applyBorder="1" applyAlignment="1">
      <alignment horizontal="center" vertical="center"/>
    </xf>
    <xf numFmtId="9" fontId="0" fillId="11" borderId="0" xfId="0" applyNumberFormat="1" applyFont="1" applyFill="1" applyAlignment="1">
      <alignment horizontal="center" vertical="center"/>
    </xf>
    <xf numFmtId="9" fontId="0" fillId="11" borderId="8" xfId="0" applyNumberFormat="1" applyFont="1" applyFill="1" applyBorder="1" applyAlignment="1">
      <alignment horizontal="center" vertical="center"/>
    </xf>
    <xf numFmtId="9" fontId="0" fillId="11" borderId="11" xfId="0" applyNumberFormat="1" applyFont="1" applyFill="1" applyBorder="1" applyAlignment="1">
      <alignment horizontal="center" vertical="center"/>
    </xf>
    <xf numFmtId="9" fontId="0" fillId="6" borderId="19" xfId="0" applyNumberFormat="1" applyFont="1" applyFill="1" applyBorder="1" applyAlignment="1"/>
    <xf numFmtId="9" fontId="0" fillId="6" borderId="21" xfId="0" applyNumberFormat="1" applyFont="1" applyFill="1" applyBorder="1" applyAlignment="1"/>
    <xf numFmtId="9" fontId="0" fillId="6" borderId="22" xfId="0" applyNumberFormat="1" applyFont="1" applyFill="1" applyBorder="1" applyAlignment="1">
      <alignment wrapText="1"/>
    </xf>
    <xf numFmtId="9" fontId="0" fillId="6" borderId="23" xfId="0" applyNumberFormat="1" applyFont="1" applyFill="1" applyBorder="1" applyAlignment="1">
      <alignment wrapText="1"/>
    </xf>
    <xf numFmtId="9" fontId="10" fillId="10" borderId="26" xfId="0" applyNumberFormat="1" applyFont="1" applyFill="1" applyBorder="1" applyAlignment="1">
      <alignment horizontal="center" vertical="center"/>
    </xf>
    <xf numFmtId="9" fontId="10" fillId="10" borderId="12" xfId="0" applyNumberFormat="1" applyFont="1" applyFill="1" applyBorder="1" applyAlignment="1">
      <alignment horizontal="center" vertical="center"/>
    </xf>
    <xf numFmtId="9" fontId="5" fillId="5" borderId="2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11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5" fillId="5" borderId="27" xfId="0" applyFont="1" applyFill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/>
    </xf>
    <xf numFmtId="9" fontId="0" fillId="11" borderId="10" xfId="0" applyNumberFormat="1" applyFont="1" applyFill="1" applyBorder="1" applyAlignment="1">
      <alignment horizontal="center" vertical="center"/>
    </xf>
    <xf numFmtId="9" fontId="10" fillId="10" borderId="15" xfId="0" applyNumberFormat="1" applyFont="1" applyFill="1" applyBorder="1" applyAlignment="1">
      <alignment horizontal="center" vertical="center"/>
    </xf>
    <xf numFmtId="9" fontId="5" fillId="5" borderId="14" xfId="0" applyNumberFormat="1" applyFont="1" applyFill="1" applyBorder="1" applyAlignment="1">
      <alignment horizontal="center" vertical="center" wrapText="1"/>
    </xf>
    <xf numFmtId="9" fontId="10" fillId="10" borderId="13" xfId="0" applyNumberFormat="1" applyFont="1" applyFill="1" applyBorder="1" applyAlignment="1">
      <alignment horizontal="center" vertical="center"/>
    </xf>
    <xf numFmtId="9" fontId="0" fillId="8" borderId="32" xfId="0" applyNumberFormat="1" applyFont="1" applyFill="1" applyBorder="1" applyAlignment="1">
      <alignment horizontal="center" vertical="center"/>
    </xf>
    <xf numFmtId="9" fontId="10" fillId="11" borderId="31" xfId="0" applyNumberFormat="1" applyFont="1" applyFill="1" applyBorder="1" applyAlignment="1">
      <alignment horizontal="center" vertical="center"/>
    </xf>
    <xf numFmtId="9" fontId="0" fillId="11" borderId="33" xfId="0" applyNumberFormat="1" applyFont="1" applyFill="1" applyBorder="1" applyAlignment="1">
      <alignment horizontal="center" vertical="center"/>
    </xf>
    <xf numFmtId="9" fontId="0" fillId="11" borderId="9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wrapText="1"/>
    </xf>
    <xf numFmtId="0" fontId="0" fillId="3" borderId="17" xfId="0" applyFill="1" applyBorder="1" applyAlignment="1"/>
    <xf numFmtId="0" fontId="0" fillId="3" borderId="18" xfId="0" applyFill="1" applyBorder="1" applyAlignment="1"/>
    <xf numFmtId="0" fontId="6" fillId="0" borderId="0" xfId="0" applyFont="1" applyAlignment="1">
      <alignment vertical="top" wrapText="1"/>
    </xf>
    <xf numFmtId="0" fontId="0" fillId="0" borderId="0" xfId="0" applyAlignment="1"/>
    <xf numFmtId="9" fontId="10" fillId="6" borderId="16" xfId="0" applyNumberFormat="1" applyFont="1" applyFill="1" applyBorder="1" applyAlignment="1">
      <alignment wrapText="1"/>
    </xf>
    <xf numFmtId="9" fontId="10" fillId="6" borderId="17" xfId="0" applyNumberFormat="1" applyFont="1" applyFill="1" applyBorder="1" applyAlignment="1">
      <alignment wrapText="1"/>
    </xf>
    <xf numFmtId="9" fontId="10" fillId="6" borderId="18" xfId="0" applyNumberFormat="1" applyFont="1" applyFill="1" applyBorder="1" applyAlignment="1">
      <alignment wrapText="1"/>
    </xf>
    <xf numFmtId="0" fontId="14" fillId="6" borderId="28" xfId="0" applyFont="1" applyFill="1" applyBorder="1" applyAlignment="1">
      <alignment horizontal="left" vertical="center" wrapText="1"/>
    </xf>
    <xf numFmtId="0" fontId="14" fillId="6" borderId="29" xfId="0" applyFont="1" applyFill="1" applyBorder="1" applyAlignment="1">
      <alignment horizontal="left" vertical="center"/>
    </xf>
    <xf numFmtId="0" fontId="14" fillId="6" borderId="30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9" fontId="12" fillId="6" borderId="0" xfId="0" applyNumberFormat="1" applyFont="1" applyFill="1" applyBorder="1" applyAlignment="1">
      <alignment wrapText="1"/>
    </xf>
    <xf numFmtId="9" fontId="12" fillId="6" borderId="20" xfId="0" applyNumberFormat="1" applyFont="1" applyFill="1" applyBorder="1" applyAlignment="1">
      <alignment wrapText="1"/>
    </xf>
    <xf numFmtId="9" fontId="0" fillId="6" borderId="0" xfId="0" applyNumberFormat="1" applyFont="1" applyFill="1" applyBorder="1" applyAlignment="1">
      <alignment wrapText="1"/>
    </xf>
    <xf numFmtId="9" fontId="0" fillId="6" borderId="20" xfId="0" applyNumberFormat="1" applyFont="1" applyFill="1" applyBorder="1" applyAlignment="1">
      <alignment wrapText="1"/>
    </xf>
    <xf numFmtId="9" fontId="0" fillId="6" borderId="22" xfId="0" applyNumberFormat="1" applyFont="1" applyFill="1" applyBorder="1" applyAlignment="1">
      <alignment wrapText="1"/>
    </xf>
    <xf numFmtId="9" fontId="0" fillId="6" borderId="2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D940C16-52FA-45AA-BE17-B045E67E7FB7}"/>
  </tableStyles>
  <colors>
    <mruColors>
      <color rgb="FFFFFFC9"/>
      <color rgb="FF0EF645"/>
      <color rgb="FFECFEEF"/>
      <color rgb="FFA0F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ry, Scott" id="{F4B913D8-83EA-4748-8BEA-B3B175BFD8DE}" userId="S::sberry@co.humboldt.ca.us::a0bccb90-a8b8-4938-9731-b772e58887f1" providerId="AD"/>
  <person displayName="Guidry, Glen" id="{A6BA1E45-637F-4284-B6DD-3C34EDCCCC1D}" userId="S::GGuidry@co.humboldt.ca.us::abe4a33c-bd23-4035-85c3-ff80d45b404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P20" dT="2023-11-17T22:10:06.41" personId="{A6BA1E45-637F-4284-B6DD-3C34EDCCCC1D}" id="{86BF97BE-8499-49D8-9C96-56B24419A91A}">
    <text xml:space="preserve">MD signatures for treatment plans being provided within 72 hours is still an issue.  Previous quarter completion rate was 88%.  Currently at 6% for Quarter one of FY23-24.  Reason for the precipitous drop is being investigated.  Overall percentage compliance for measured criteria is 90%.  Significant systemic deficits have been identified and are actively being troubleshooted.
</text>
  </threadedComment>
  <threadedComment ref="C36" dT="2025-09-24T23:34:14.21" personId="{F4B913D8-83EA-4748-8BEA-B3B175BFD8DE}" id="{D1E41E28-C481-44AF-BED1-9E11D5F08037}">
    <text>Begin Tracking FY 25/26 Q1</text>
  </threadedComment>
  <threadedComment ref="C37" dT="2025-09-24T23:34:22.26" personId="{F4B913D8-83EA-4748-8BEA-B3B175BFD8DE}" id="{D2252BE3-B9D3-4B0B-AA13-14D0D103DA98}">
    <text>Begin Tracking FY 25/26 Q1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3"/>
  <sheetViews>
    <sheetView showGridLines="0" tabSelected="1" zoomScale="115" zoomScaleNormal="115" workbookViewId="0">
      <pane xSplit="15" ySplit="3" topLeftCell="AQ22" activePane="bottomRight" state="frozen"/>
      <selection pane="topRight" activeCell="P1" sqref="P1"/>
      <selection pane="bottomLeft" activeCell="A4" sqref="A4"/>
      <selection pane="bottomRight" activeCell="BA43" sqref="BA43"/>
    </sheetView>
  </sheetViews>
  <sheetFormatPr defaultColWidth="8.84375" defaultRowHeight="20.149999999999999" customHeight="1" x14ac:dyDescent="0.35"/>
  <cols>
    <col min="1" max="1" width="8.84375" style="7"/>
    <col min="2" max="2" width="9.3046875" style="24" customWidth="1"/>
    <col min="3" max="3" width="8.765625" style="7" customWidth="1"/>
    <col min="4" max="4" width="6.765625" style="7" customWidth="1"/>
    <col min="5" max="5" width="5.4609375" style="7" customWidth="1"/>
    <col min="6" max="6" width="4.3046875" style="7" customWidth="1"/>
    <col min="7" max="7" width="11.3046875" style="7" customWidth="1"/>
    <col min="8" max="8" width="6.23046875" style="7" customWidth="1"/>
    <col min="9" max="9" width="4.23046875" style="7" hidden="1" customWidth="1"/>
    <col min="10" max="10" width="8.84375" style="7" hidden="1" customWidth="1"/>
    <col min="11" max="11" width="15.84375" style="7" hidden="1" customWidth="1"/>
    <col min="12" max="12" width="8.23046875" style="7" hidden="1" customWidth="1"/>
    <col min="13" max="13" width="8.69140625" style="7" hidden="1" customWidth="1"/>
    <col min="14" max="14" width="8.4609375" style="7" hidden="1" customWidth="1"/>
    <col min="15" max="15" width="8.69140625" style="7" hidden="1" customWidth="1"/>
    <col min="16" max="20" width="9.3046875" style="7" hidden="1" customWidth="1"/>
    <col min="21" max="23" width="9.3046875" style="7" customWidth="1"/>
    <col min="24" max="41" width="9.3046875" style="11" customWidth="1"/>
    <col min="42" max="16384" width="8.84375" style="7"/>
  </cols>
  <sheetData>
    <row r="1" spans="1:53" ht="20.25" customHeight="1" thickBot="1" x14ac:dyDescent="0.4">
      <c r="A1" s="1" t="s">
        <v>0</v>
      </c>
      <c r="B1" s="21"/>
      <c r="C1" s="2"/>
      <c r="D1" s="2" t="s">
        <v>10</v>
      </c>
      <c r="E1" s="2"/>
      <c r="F1" s="2"/>
      <c r="G1" s="2"/>
      <c r="H1" s="2"/>
      <c r="I1" s="2"/>
      <c r="J1" s="2"/>
      <c r="K1" s="2"/>
      <c r="L1" s="3" t="s">
        <v>1</v>
      </c>
      <c r="M1" s="4" t="s">
        <v>2</v>
      </c>
      <c r="N1" s="5" t="s">
        <v>3</v>
      </c>
      <c r="O1" s="6"/>
      <c r="P1" s="6"/>
      <c r="Q1" s="6"/>
      <c r="R1" s="6"/>
      <c r="S1" s="6"/>
      <c r="T1" s="6"/>
      <c r="U1" s="83"/>
      <c r="V1" s="6"/>
      <c r="W1" s="6"/>
      <c r="X1" s="38"/>
      <c r="Y1" s="38"/>
      <c r="Z1" s="40"/>
      <c r="AA1" s="38"/>
      <c r="AB1" s="38"/>
      <c r="AC1" s="38"/>
      <c r="AD1" s="38"/>
      <c r="AE1" s="40"/>
      <c r="AF1" s="38"/>
      <c r="AG1" s="38"/>
      <c r="AH1" s="38"/>
      <c r="AI1" s="38"/>
      <c r="AJ1" s="40"/>
      <c r="AK1" s="38"/>
      <c r="AL1" s="38"/>
      <c r="AM1" s="38"/>
      <c r="AN1" s="38"/>
      <c r="AO1" s="40"/>
    </row>
    <row r="2" spans="1:53" s="9" customFormat="1" ht="28.5" customHeight="1" thickTop="1" thickBot="1" x14ac:dyDescent="0.4">
      <c r="A2" s="15"/>
      <c r="B2" s="16"/>
      <c r="C2" s="17"/>
      <c r="D2" s="17"/>
      <c r="E2" s="10"/>
      <c r="F2" s="17"/>
      <c r="G2" s="17"/>
      <c r="H2" s="17"/>
      <c r="I2" s="17"/>
      <c r="J2" s="17"/>
      <c r="K2" s="17"/>
      <c r="L2" s="8" t="s">
        <v>5</v>
      </c>
      <c r="M2" s="8" t="s">
        <v>6</v>
      </c>
      <c r="N2" s="8" t="s">
        <v>7</v>
      </c>
      <c r="O2" s="8" t="s">
        <v>8</v>
      </c>
      <c r="P2" s="8" t="s">
        <v>9</v>
      </c>
      <c r="Q2" s="8" t="s">
        <v>45</v>
      </c>
      <c r="R2" s="8" t="s">
        <v>46</v>
      </c>
      <c r="S2" s="8" t="s">
        <v>47</v>
      </c>
      <c r="T2" s="81" t="s">
        <v>48</v>
      </c>
      <c r="U2" s="84" t="s">
        <v>62</v>
      </c>
      <c r="V2" s="82" t="s">
        <v>63</v>
      </c>
      <c r="W2" s="64" t="s">
        <v>64</v>
      </c>
      <c r="X2" s="65" t="s">
        <v>65</v>
      </c>
      <c r="Y2" s="68" t="s">
        <v>66</v>
      </c>
      <c r="Z2" s="80" t="s">
        <v>67</v>
      </c>
      <c r="AA2" s="69" t="s">
        <v>68</v>
      </c>
      <c r="AB2" s="65" t="s">
        <v>69</v>
      </c>
      <c r="AC2" s="65" t="s">
        <v>70</v>
      </c>
      <c r="AD2" s="68" t="s">
        <v>71</v>
      </c>
      <c r="AE2" s="80" t="s">
        <v>72</v>
      </c>
      <c r="AF2" s="69" t="s">
        <v>73</v>
      </c>
      <c r="AG2" s="65" t="s">
        <v>74</v>
      </c>
      <c r="AH2" s="65" t="s">
        <v>75</v>
      </c>
      <c r="AI2" s="68" t="s">
        <v>76</v>
      </c>
      <c r="AJ2" s="80" t="s">
        <v>77</v>
      </c>
      <c r="AK2" s="69" t="s">
        <v>78</v>
      </c>
      <c r="AL2" s="65" t="s">
        <v>79</v>
      </c>
      <c r="AM2" s="65" t="s">
        <v>80</v>
      </c>
      <c r="AN2" s="68" t="s">
        <v>81</v>
      </c>
      <c r="AO2" s="88" t="s">
        <v>82</v>
      </c>
      <c r="AP2" s="69" t="s">
        <v>83</v>
      </c>
      <c r="AQ2" s="65" t="s">
        <v>84</v>
      </c>
      <c r="AR2" s="65" t="s">
        <v>85</v>
      </c>
      <c r="AS2" s="68" t="s">
        <v>86</v>
      </c>
      <c r="AT2" s="88" t="s">
        <v>87</v>
      </c>
      <c r="AU2" s="69" t="s">
        <v>88</v>
      </c>
      <c r="AV2" s="65" t="s">
        <v>89</v>
      </c>
      <c r="AW2" s="65" t="s">
        <v>90</v>
      </c>
      <c r="AX2" s="68" t="s">
        <v>91</v>
      </c>
      <c r="AY2" s="88" t="s">
        <v>92</v>
      </c>
      <c r="AZ2" s="69" t="s">
        <v>61</v>
      </c>
      <c r="BA2" s="69" t="s">
        <v>97</v>
      </c>
    </row>
    <row r="3" spans="1:53" ht="20.149999999999999" customHeight="1" thickTop="1" x14ac:dyDescent="0.35">
      <c r="A3" s="1"/>
      <c r="B3" s="22" t="s">
        <v>12</v>
      </c>
      <c r="C3" s="2"/>
      <c r="K3" s="52"/>
      <c r="L3" s="52"/>
      <c r="M3" s="52"/>
      <c r="N3" s="52"/>
      <c r="O3" s="52"/>
      <c r="P3" s="52"/>
      <c r="Q3" s="52"/>
      <c r="R3" s="52"/>
      <c r="S3" s="52"/>
      <c r="T3" s="52"/>
      <c r="U3" s="58"/>
      <c r="V3" s="52"/>
      <c r="W3" s="52"/>
      <c r="X3" s="53"/>
      <c r="Y3" s="53"/>
      <c r="Z3" s="54"/>
      <c r="AA3" s="53"/>
      <c r="AB3" s="53"/>
      <c r="AC3" s="53"/>
      <c r="AD3" s="53"/>
      <c r="AE3" s="54"/>
      <c r="AF3" s="53"/>
      <c r="AG3" s="53"/>
      <c r="AH3" s="53"/>
      <c r="AI3" s="53"/>
      <c r="AJ3" s="54"/>
      <c r="AK3" s="53"/>
      <c r="AL3" s="53"/>
      <c r="AM3" s="53"/>
      <c r="AN3" s="53"/>
      <c r="AO3" s="54"/>
      <c r="AP3" s="53"/>
      <c r="AQ3" s="53"/>
      <c r="AR3" s="53"/>
      <c r="AS3" s="53"/>
      <c r="AT3" s="54"/>
      <c r="AU3" s="53"/>
      <c r="AV3" s="53"/>
      <c r="AW3" s="52"/>
      <c r="AX3" s="52"/>
      <c r="AY3" s="58"/>
      <c r="AZ3" s="53"/>
      <c r="BA3" s="53"/>
    </row>
    <row r="4" spans="1:53" ht="20.149999999999999" customHeight="1" x14ac:dyDescent="0.35">
      <c r="B4" s="23" t="s">
        <v>11</v>
      </c>
      <c r="L4" s="25">
        <v>1</v>
      </c>
      <c r="M4" s="25">
        <v>1</v>
      </c>
      <c r="N4" s="25">
        <v>1</v>
      </c>
      <c r="O4" s="25">
        <v>1</v>
      </c>
      <c r="P4" s="25">
        <f>AVERAGE(L4:O4)</f>
        <v>1</v>
      </c>
      <c r="Q4" s="25">
        <v>1</v>
      </c>
      <c r="R4" s="25">
        <v>1</v>
      </c>
      <c r="S4" s="25">
        <v>1</v>
      </c>
      <c r="T4" s="36">
        <v>1</v>
      </c>
      <c r="U4" s="79">
        <f>AVERAGE(Q4:T4)</f>
        <v>1</v>
      </c>
      <c r="V4" s="70">
        <f>15/15</f>
        <v>1</v>
      </c>
      <c r="W4" s="66">
        <v>1</v>
      </c>
      <c r="X4" s="66">
        <v>1</v>
      </c>
      <c r="Y4" s="66">
        <v>1</v>
      </c>
      <c r="Z4" s="79">
        <v>1</v>
      </c>
      <c r="AA4" s="70">
        <f>15/15</f>
        <v>1</v>
      </c>
      <c r="AB4" s="66">
        <f>15/15</f>
        <v>1</v>
      </c>
      <c r="AC4" s="66">
        <v>1</v>
      </c>
      <c r="AD4" s="66">
        <v>1</v>
      </c>
      <c r="AE4" s="79">
        <f>AVERAGE(AA4:AD4)</f>
        <v>1</v>
      </c>
      <c r="AF4" s="70">
        <v>1</v>
      </c>
      <c r="AG4" s="66">
        <v>1</v>
      </c>
      <c r="AH4" s="66">
        <f>15/15</f>
        <v>1</v>
      </c>
      <c r="AI4" s="66">
        <v>1</v>
      </c>
      <c r="AJ4" s="79">
        <f t="shared" ref="AJ4:AJ5" si="0">AVERAGE(AF4:AI4)</f>
        <v>1</v>
      </c>
      <c r="AK4" s="70">
        <v>1</v>
      </c>
      <c r="AL4" s="66">
        <v>1</v>
      </c>
      <c r="AM4" s="66">
        <v>1</v>
      </c>
      <c r="AN4" s="66">
        <v>1</v>
      </c>
      <c r="AO4" s="79">
        <v>1</v>
      </c>
      <c r="AP4" s="70">
        <v>1</v>
      </c>
      <c r="AQ4" s="66">
        <v>1</v>
      </c>
      <c r="AR4" s="66">
        <v>1</v>
      </c>
      <c r="AS4" s="66">
        <f>15/15</f>
        <v>1</v>
      </c>
      <c r="AT4" s="79">
        <f>AVERAGE(AP4:AS4)</f>
        <v>1</v>
      </c>
      <c r="AU4" s="70">
        <v>1</v>
      </c>
      <c r="AV4" s="66">
        <v>1</v>
      </c>
      <c r="AW4" s="66">
        <v>1</v>
      </c>
      <c r="AX4" s="66">
        <v>1</v>
      </c>
      <c r="AY4" s="79">
        <f>AVERAGE(AU4:AX4)</f>
        <v>1</v>
      </c>
      <c r="AZ4" s="92">
        <v>1</v>
      </c>
      <c r="BA4" s="92">
        <v>1</v>
      </c>
    </row>
    <row r="5" spans="1:53" ht="20.149999999999999" customHeight="1" x14ac:dyDescent="0.35">
      <c r="A5" s="18"/>
      <c r="B5" s="23" t="s">
        <v>40</v>
      </c>
      <c r="C5" s="15"/>
      <c r="D5" s="15"/>
      <c r="E5" s="15"/>
      <c r="F5" s="15"/>
      <c r="G5" s="15"/>
      <c r="H5" s="15"/>
      <c r="I5" s="15"/>
      <c r="J5" s="15"/>
      <c r="K5" s="15"/>
      <c r="L5" s="25">
        <v>0.44</v>
      </c>
      <c r="M5" s="29">
        <v>0.5</v>
      </c>
      <c r="N5" s="29">
        <v>0.54</v>
      </c>
      <c r="O5" s="25">
        <v>0.53</v>
      </c>
      <c r="P5" s="25">
        <f t="shared" ref="P5:P41" si="1">AVERAGE(L5:O5)</f>
        <v>0.50249999999999995</v>
      </c>
      <c r="Q5" s="25">
        <v>0.72</v>
      </c>
      <c r="R5" s="25">
        <f>7/13</f>
        <v>0.53846153846153844</v>
      </c>
      <c r="S5" s="25">
        <v>0.73</v>
      </c>
      <c r="T5" s="36">
        <v>0.77</v>
      </c>
      <c r="U5" s="79">
        <f t="shared" ref="U5:U6" si="2">AVERAGE(Q5:T5)</f>
        <v>0.68961538461538463</v>
      </c>
      <c r="V5" s="70">
        <f>8/10</f>
        <v>0.8</v>
      </c>
      <c r="W5" s="66">
        <v>0.2</v>
      </c>
      <c r="X5" s="66">
        <f>7/12</f>
        <v>0.58333333333333337</v>
      </c>
      <c r="Y5" s="66">
        <f>2/12</f>
        <v>0.16666666666666666</v>
      </c>
      <c r="Z5" s="79">
        <v>0.43750000000000006</v>
      </c>
      <c r="AA5" s="70">
        <f>2/14</f>
        <v>0.14285714285714285</v>
      </c>
      <c r="AB5" s="66">
        <f>8/14</f>
        <v>0.5714285714285714</v>
      </c>
      <c r="AC5" s="66">
        <v>0.56999999999999995</v>
      </c>
      <c r="AD5" s="66" t="s">
        <v>51</v>
      </c>
      <c r="AE5" s="79">
        <f t="shared" ref="AE5:AE41" si="3">AVERAGE(AA5:AD5)</f>
        <v>0.42809523809523808</v>
      </c>
      <c r="AF5" s="70">
        <v>0.5</v>
      </c>
      <c r="AG5" s="66">
        <v>0.8</v>
      </c>
      <c r="AH5" s="66">
        <f>5/6</f>
        <v>0.83333333333333337</v>
      </c>
      <c r="AI5" s="66">
        <v>0.4</v>
      </c>
      <c r="AJ5" s="79">
        <f t="shared" si="0"/>
        <v>0.6333333333333333</v>
      </c>
      <c r="AK5" s="70">
        <v>0.5</v>
      </c>
      <c r="AL5" s="66">
        <v>0.66</v>
      </c>
      <c r="AM5" s="66">
        <v>0.67</v>
      </c>
      <c r="AN5" s="66">
        <v>1</v>
      </c>
      <c r="AO5" s="79">
        <v>0.70750000000000002</v>
      </c>
      <c r="AP5" s="70">
        <v>0.9</v>
      </c>
      <c r="AQ5" s="66">
        <v>0.7</v>
      </c>
      <c r="AR5" s="66">
        <v>0.5</v>
      </c>
      <c r="AS5" s="66">
        <f>7/12</f>
        <v>0.58333333333333337</v>
      </c>
      <c r="AT5" s="79">
        <f t="shared" ref="AT5:AT41" si="4">AVERAGE(AP5:AS5)</f>
        <v>0.67083333333333339</v>
      </c>
      <c r="AU5" s="70">
        <v>0.57999999999999996</v>
      </c>
      <c r="AV5" s="66">
        <v>0.73</v>
      </c>
      <c r="AW5" s="66">
        <v>0.69</v>
      </c>
      <c r="AX5" s="66">
        <v>0.77</v>
      </c>
      <c r="AY5" s="79">
        <f t="shared" ref="AY5:AY41" si="5">AVERAGE(AU5:AX5)</f>
        <v>0.6925</v>
      </c>
      <c r="AZ5" s="92">
        <v>0.9</v>
      </c>
      <c r="BA5" s="92">
        <v>0.8</v>
      </c>
    </row>
    <row r="6" spans="1:53" ht="20.149999999999999" hidden="1" customHeight="1" x14ac:dyDescent="0.35">
      <c r="A6" s="1"/>
      <c r="B6" s="23" t="s">
        <v>13</v>
      </c>
      <c r="C6" s="2"/>
      <c r="D6" s="2"/>
      <c r="E6" s="2"/>
      <c r="F6" s="2"/>
      <c r="G6" s="2"/>
      <c r="H6" s="2"/>
      <c r="I6" s="2"/>
      <c r="J6" s="2"/>
      <c r="K6" s="2"/>
      <c r="L6" s="25">
        <v>0</v>
      </c>
      <c r="M6" s="30">
        <v>0</v>
      </c>
      <c r="N6" s="30">
        <v>0</v>
      </c>
      <c r="O6" s="25">
        <v>0</v>
      </c>
      <c r="P6" s="25">
        <f t="shared" si="1"/>
        <v>0</v>
      </c>
      <c r="Q6" s="25">
        <v>0</v>
      </c>
      <c r="R6" s="25">
        <v>0</v>
      </c>
      <c r="S6" s="25">
        <v>0</v>
      </c>
      <c r="T6" s="25"/>
      <c r="U6" s="55">
        <f t="shared" si="2"/>
        <v>0</v>
      </c>
      <c r="V6" s="45" t="s">
        <v>50</v>
      </c>
      <c r="W6" s="45"/>
      <c r="X6" s="45"/>
      <c r="Y6" s="45"/>
      <c r="Z6" s="55"/>
      <c r="AA6" s="45"/>
      <c r="AB6" s="45"/>
      <c r="AC6" s="45"/>
      <c r="AD6" s="45"/>
      <c r="AE6" s="85" t="e">
        <f t="shared" si="3"/>
        <v>#DIV/0!</v>
      </c>
      <c r="AF6" s="46"/>
      <c r="AG6" s="45"/>
      <c r="AH6" s="45"/>
      <c r="AI6" s="45"/>
      <c r="AJ6" s="55"/>
      <c r="AK6" s="45"/>
      <c r="AL6" s="45"/>
      <c r="AM6" s="45"/>
      <c r="AN6" s="45"/>
      <c r="AO6" s="85"/>
      <c r="AP6" s="46"/>
      <c r="AQ6" s="45"/>
      <c r="AR6" s="45"/>
      <c r="AS6" s="45"/>
      <c r="AT6" s="85" t="e">
        <f t="shared" si="4"/>
        <v>#DIV/0!</v>
      </c>
      <c r="AU6" s="46"/>
      <c r="AV6" s="45"/>
      <c r="AW6" s="45"/>
      <c r="AX6" s="45"/>
      <c r="AY6" s="85" t="e">
        <f t="shared" si="5"/>
        <v>#DIV/0!</v>
      </c>
      <c r="AZ6" s="46"/>
      <c r="BA6" s="46"/>
    </row>
    <row r="7" spans="1:53" ht="20.149999999999999" customHeight="1" x14ac:dyDescent="0.35">
      <c r="A7" s="2"/>
      <c r="B7" s="22" t="s">
        <v>53</v>
      </c>
      <c r="C7" s="14"/>
      <c r="D7" s="14"/>
      <c r="E7" s="14"/>
      <c r="F7" s="14"/>
      <c r="G7" s="14"/>
      <c r="H7" s="14"/>
      <c r="I7" s="14"/>
      <c r="J7" s="14"/>
      <c r="K7" s="14"/>
      <c r="L7" s="25"/>
      <c r="M7" s="31"/>
      <c r="N7" s="31"/>
      <c r="O7" s="11"/>
      <c r="P7" s="25" t="s">
        <v>4</v>
      </c>
      <c r="Q7" s="25"/>
      <c r="R7" s="25"/>
      <c r="T7" s="36"/>
      <c r="U7" s="59"/>
      <c r="V7" s="47"/>
      <c r="W7" s="47"/>
      <c r="X7" s="48"/>
      <c r="Y7" s="48"/>
      <c r="Z7" s="56"/>
      <c r="AA7" s="48"/>
      <c r="AB7" s="48"/>
      <c r="AC7" s="48"/>
      <c r="AD7" s="48"/>
      <c r="AE7" s="56"/>
      <c r="AF7" s="48"/>
      <c r="AG7" s="48"/>
      <c r="AH7" s="48"/>
      <c r="AI7" s="48"/>
      <c r="AJ7" s="56"/>
      <c r="AK7" s="48"/>
      <c r="AL7" s="48"/>
      <c r="AM7" s="48"/>
      <c r="AN7" s="48"/>
      <c r="AO7" s="56"/>
      <c r="AP7" s="48"/>
      <c r="AQ7" s="48"/>
      <c r="AR7" s="48"/>
      <c r="AS7" s="47"/>
      <c r="AT7" s="56"/>
      <c r="AU7" s="48"/>
      <c r="AV7" s="48"/>
      <c r="AW7" s="48"/>
      <c r="AX7" s="48"/>
      <c r="AY7" s="56"/>
      <c r="AZ7" s="48"/>
      <c r="BA7" s="48"/>
    </row>
    <row r="8" spans="1:53" ht="20.149999999999999" customHeight="1" x14ac:dyDescent="0.35">
      <c r="A8" s="2"/>
      <c r="B8" s="23" t="s">
        <v>14</v>
      </c>
      <c r="C8" s="14"/>
      <c r="D8" s="14"/>
      <c r="E8" s="14"/>
      <c r="F8" s="14"/>
      <c r="G8" s="14"/>
      <c r="H8" s="14"/>
      <c r="I8" s="14"/>
      <c r="J8" s="14"/>
      <c r="K8" s="14"/>
      <c r="L8" s="25">
        <v>1</v>
      </c>
      <c r="M8" s="32">
        <v>1</v>
      </c>
      <c r="N8" s="32">
        <v>1</v>
      </c>
      <c r="O8" s="25">
        <v>1</v>
      </c>
      <c r="P8" s="25">
        <f t="shared" si="1"/>
        <v>1</v>
      </c>
      <c r="Q8" s="25">
        <v>1</v>
      </c>
      <c r="R8" s="25">
        <v>1</v>
      </c>
      <c r="S8" s="25">
        <v>1</v>
      </c>
      <c r="T8" s="36">
        <v>1</v>
      </c>
      <c r="U8" s="79">
        <f t="shared" ref="U8:U17" si="6">AVERAGE(Q8:T8)</f>
        <v>1</v>
      </c>
      <c r="V8" s="70">
        <f>15/15</f>
        <v>1</v>
      </c>
      <c r="W8" s="66">
        <v>1</v>
      </c>
      <c r="X8" s="66">
        <v>1</v>
      </c>
      <c r="Y8" s="66">
        <v>1</v>
      </c>
      <c r="Z8" s="79"/>
      <c r="AA8" s="70">
        <f>13/15</f>
        <v>0.8666666666666667</v>
      </c>
      <c r="AB8" s="66">
        <f>15/15</f>
        <v>1</v>
      </c>
      <c r="AC8" s="66">
        <v>1</v>
      </c>
      <c r="AD8" s="66">
        <v>1</v>
      </c>
      <c r="AE8" s="79">
        <f t="shared" si="3"/>
        <v>0.96666666666666667</v>
      </c>
      <c r="AF8" s="70">
        <v>1</v>
      </c>
      <c r="AG8" s="66">
        <v>1</v>
      </c>
      <c r="AH8" s="66">
        <f>15/15</f>
        <v>1</v>
      </c>
      <c r="AI8" s="66">
        <v>0.93</v>
      </c>
      <c r="AJ8" s="79">
        <f t="shared" ref="AJ8:AJ20" si="7">AVERAGE(AF8:AI8)</f>
        <v>0.98250000000000004</v>
      </c>
      <c r="AK8" s="70">
        <v>1</v>
      </c>
      <c r="AL8" s="66">
        <v>1</v>
      </c>
      <c r="AM8" s="66">
        <v>1</v>
      </c>
      <c r="AN8" s="66">
        <v>1</v>
      </c>
      <c r="AO8" s="79">
        <v>1</v>
      </c>
      <c r="AP8" s="70">
        <v>1</v>
      </c>
      <c r="AQ8" s="66">
        <v>1</v>
      </c>
      <c r="AR8" s="66">
        <v>1</v>
      </c>
      <c r="AS8" s="71">
        <f>15/15</f>
        <v>1</v>
      </c>
      <c r="AT8" s="79">
        <f t="shared" si="4"/>
        <v>1</v>
      </c>
      <c r="AU8" s="70">
        <v>1</v>
      </c>
      <c r="AV8" s="66">
        <v>1</v>
      </c>
      <c r="AW8" s="66">
        <v>1</v>
      </c>
      <c r="AX8" s="66">
        <v>1</v>
      </c>
      <c r="AY8" s="79">
        <f t="shared" si="5"/>
        <v>1</v>
      </c>
      <c r="AZ8" s="92">
        <v>1</v>
      </c>
      <c r="BA8" s="92">
        <v>1</v>
      </c>
    </row>
    <row r="9" spans="1:53" ht="20.149999999999999" customHeight="1" x14ac:dyDescent="0.35">
      <c r="A9" s="1"/>
      <c r="B9" s="23" t="s">
        <v>15</v>
      </c>
      <c r="C9" s="2"/>
      <c r="D9" s="2"/>
      <c r="E9" s="2"/>
      <c r="F9" s="2"/>
      <c r="G9" s="2"/>
      <c r="H9" s="2"/>
      <c r="I9" s="2"/>
      <c r="J9" s="2"/>
      <c r="K9" s="2"/>
      <c r="L9" s="25">
        <v>0.86</v>
      </c>
      <c r="M9" s="30">
        <v>0.86</v>
      </c>
      <c r="N9" s="30">
        <v>0.93</v>
      </c>
      <c r="O9" s="25">
        <v>0.93</v>
      </c>
      <c r="P9" s="25">
        <v>0.9</v>
      </c>
      <c r="Q9" s="25">
        <v>0.93</v>
      </c>
      <c r="R9" s="25">
        <f>13/15</f>
        <v>0.8666666666666667</v>
      </c>
      <c r="S9" s="25">
        <v>0.86</v>
      </c>
      <c r="T9" s="36">
        <v>1</v>
      </c>
      <c r="U9" s="79">
        <f t="shared" si="6"/>
        <v>0.91416666666666668</v>
      </c>
      <c r="V9" s="70">
        <f>15/15</f>
        <v>1</v>
      </c>
      <c r="W9" s="66">
        <v>1</v>
      </c>
      <c r="X9" s="66">
        <v>1</v>
      </c>
      <c r="Y9" s="66">
        <v>1</v>
      </c>
      <c r="Z9" s="79">
        <v>1</v>
      </c>
      <c r="AA9" s="70">
        <f>14/15</f>
        <v>0.93333333333333335</v>
      </c>
      <c r="AB9" s="66">
        <f>10/15</f>
        <v>0.66666666666666663</v>
      </c>
      <c r="AC9" s="66">
        <v>1</v>
      </c>
      <c r="AD9" s="66">
        <v>1</v>
      </c>
      <c r="AE9" s="79">
        <f t="shared" si="3"/>
        <v>0.9</v>
      </c>
      <c r="AF9" s="70">
        <v>1</v>
      </c>
      <c r="AG9" s="66">
        <v>1</v>
      </c>
      <c r="AH9" s="66">
        <f t="shared" ref="AH9:AH12" si="8">15/15</f>
        <v>1</v>
      </c>
      <c r="AI9" s="66">
        <v>0.93</v>
      </c>
      <c r="AJ9" s="79">
        <f t="shared" si="7"/>
        <v>0.98250000000000004</v>
      </c>
      <c r="AK9" s="70">
        <v>1</v>
      </c>
      <c r="AL9" s="66">
        <v>1</v>
      </c>
      <c r="AM9" s="66">
        <v>1</v>
      </c>
      <c r="AN9" s="66">
        <v>0.93</v>
      </c>
      <c r="AO9" s="79">
        <v>0.98250000000000004</v>
      </c>
      <c r="AP9" s="70">
        <v>0.93</v>
      </c>
      <c r="AQ9" s="66">
        <v>1</v>
      </c>
      <c r="AR9" s="66">
        <v>0.93</v>
      </c>
      <c r="AS9" s="66">
        <f>11/15</f>
        <v>0.73333333333333328</v>
      </c>
      <c r="AT9" s="79">
        <f t="shared" si="4"/>
        <v>0.89833333333333343</v>
      </c>
      <c r="AU9" s="70">
        <v>0.8</v>
      </c>
      <c r="AV9" s="66">
        <v>1</v>
      </c>
      <c r="AW9" s="66">
        <v>1</v>
      </c>
      <c r="AX9" s="66">
        <v>1</v>
      </c>
      <c r="AY9" s="79">
        <f t="shared" si="5"/>
        <v>0.95</v>
      </c>
      <c r="AZ9" s="92">
        <v>1</v>
      </c>
      <c r="BA9" s="92">
        <v>1</v>
      </c>
    </row>
    <row r="10" spans="1:53" ht="20.149999999999999" customHeight="1" x14ac:dyDescent="0.35">
      <c r="A10" s="12"/>
      <c r="B10" s="39" t="s">
        <v>16</v>
      </c>
      <c r="C10" s="15"/>
      <c r="D10" s="15"/>
      <c r="E10" s="15"/>
      <c r="F10" s="15"/>
      <c r="G10" s="15"/>
      <c r="H10" s="15"/>
      <c r="I10" s="15"/>
      <c r="J10" s="15"/>
      <c r="K10" s="15"/>
      <c r="L10" s="25">
        <v>1</v>
      </c>
      <c r="M10" s="29">
        <v>1</v>
      </c>
      <c r="N10" s="29">
        <v>1</v>
      </c>
      <c r="O10" s="25">
        <v>0.93</v>
      </c>
      <c r="P10" s="25">
        <f t="shared" si="1"/>
        <v>0.98250000000000004</v>
      </c>
      <c r="Q10" s="25">
        <v>1</v>
      </c>
      <c r="R10" s="25">
        <v>1</v>
      </c>
      <c r="S10" s="25">
        <v>1</v>
      </c>
      <c r="T10" s="36">
        <v>1</v>
      </c>
      <c r="U10" s="79">
        <f t="shared" si="6"/>
        <v>1</v>
      </c>
      <c r="V10" s="70">
        <f t="shared" ref="V10:V12" si="9">15/15</f>
        <v>1</v>
      </c>
      <c r="W10" s="66">
        <v>1</v>
      </c>
      <c r="X10" s="66">
        <v>1</v>
      </c>
      <c r="Y10" s="66">
        <v>1</v>
      </c>
      <c r="Z10" s="79">
        <v>1</v>
      </c>
      <c r="AA10" s="70">
        <f>15/15</f>
        <v>1</v>
      </c>
      <c r="AB10" s="66">
        <f>15/15</f>
        <v>1</v>
      </c>
      <c r="AC10" s="66">
        <v>1</v>
      </c>
      <c r="AD10" s="66">
        <v>1</v>
      </c>
      <c r="AE10" s="79">
        <f t="shared" si="3"/>
        <v>1</v>
      </c>
      <c r="AF10" s="70">
        <v>1</v>
      </c>
      <c r="AG10" s="66">
        <v>1</v>
      </c>
      <c r="AH10" s="66">
        <f t="shared" si="8"/>
        <v>1</v>
      </c>
      <c r="AI10" s="66">
        <v>1</v>
      </c>
      <c r="AJ10" s="79">
        <f t="shared" si="7"/>
        <v>1</v>
      </c>
      <c r="AK10" s="70">
        <v>1</v>
      </c>
      <c r="AL10" s="66">
        <v>1</v>
      </c>
      <c r="AM10" s="66">
        <v>1</v>
      </c>
      <c r="AN10" s="66">
        <v>1</v>
      </c>
      <c r="AO10" s="79">
        <v>1</v>
      </c>
      <c r="AP10" s="70">
        <v>0.93</v>
      </c>
      <c r="AQ10" s="66">
        <v>0.93</v>
      </c>
      <c r="AR10" s="66">
        <v>1</v>
      </c>
      <c r="AS10" s="66">
        <f>15/15</f>
        <v>1</v>
      </c>
      <c r="AT10" s="79">
        <f t="shared" si="4"/>
        <v>0.96500000000000008</v>
      </c>
      <c r="AU10" s="70">
        <v>1</v>
      </c>
      <c r="AV10" s="66">
        <v>1</v>
      </c>
      <c r="AW10" s="66">
        <v>1</v>
      </c>
      <c r="AX10" s="66">
        <v>1</v>
      </c>
      <c r="AY10" s="79">
        <f t="shared" si="5"/>
        <v>1</v>
      </c>
      <c r="AZ10" s="92">
        <v>1</v>
      </c>
      <c r="BA10" s="92">
        <v>1</v>
      </c>
    </row>
    <row r="11" spans="1:53" ht="20.149999999999999" customHeight="1" x14ac:dyDescent="0.35">
      <c r="A11" s="2"/>
      <c r="B11" s="23" t="s">
        <v>17</v>
      </c>
      <c r="C11" s="23"/>
      <c r="D11" s="23"/>
      <c r="E11" s="23"/>
      <c r="F11" s="23"/>
      <c r="G11" s="23"/>
      <c r="H11" s="23"/>
      <c r="I11" s="15"/>
      <c r="J11" s="15"/>
      <c r="K11" s="15"/>
      <c r="L11" s="25">
        <v>1</v>
      </c>
      <c r="M11" s="29">
        <v>1</v>
      </c>
      <c r="N11" s="29">
        <v>1</v>
      </c>
      <c r="O11" s="25">
        <v>0.93</v>
      </c>
      <c r="P11" s="25">
        <f t="shared" si="1"/>
        <v>0.98250000000000004</v>
      </c>
      <c r="Q11" s="25">
        <v>1</v>
      </c>
      <c r="R11" s="25">
        <v>1</v>
      </c>
      <c r="S11" s="25">
        <v>1</v>
      </c>
      <c r="T11" s="36">
        <v>1</v>
      </c>
      <c r="U11" s="79">
        <f t="shared" si="6"/>
        <v>1</v>
      </c>
      <c r="V11" s="70">
        <f t="shared" si="9"/>
        <v>1</v>
      </c>
      <c r="W11" s="66">
        <v>1</v>
      </c>
      <c r="X11" s="66">
        <v>1</v>
      </c>
      <c r="Y11" s="66">
        <v>1</v>
      </c>
      <c r="Z11" s="79">
        <v>1</v>
      </c>
      <c r="AA11" s="70">
        <f t="shared" ref="AA11:AA12" si="10">15/15</f>
        <v>1</v>
      </c>
      <c r="AB11" s="66">
        <f>15/15</f>
        <v>1</v>
      </c>
      <c r="AC11" s="66">
        <v>1</v>
      </c>
      <c r="AD11" s="66">
        <v>1</v>
      </c>
      <c r="AE11" s="79">
        <f t="shared" si="3"/>
        <v>1</v>
      </c>
      <c r="AF11" s="70">
        <v>1</v>
      </c>
      <c r="AG11" s="66">
        <v>1</v>
      </c>
      <c r="AH11" s="66">
        <f t="shared" si="8"/>
        <v>1</v>
      </c>
      <c r="AI11" s="66">
        <v>1</v>
      </c>
      <c r="AJ11" s="79">
        <f t="shared" si="7"/>
        <v>1</v>
      </c>
      <c r="AK11" s="70">
        <v>1</v>
      </c>
      <c r="AL11" s="66">
        <v>1</v>
      </c>
      <c r="AM11" s="66">
        <v>1</v>
      </c>
      <c r="AN11" s="66">
        <v>1</v>
      </c>
      <c r="AO11" s="79">
        <v>1</v>
      </c>
      <c r="AP11" s="70">
        <v>1</v>
      </c>
      <c r="AQ11" s="66">
        <v>0.93</v>
      </c>
      <c r="AR11" s="66">
        <v>1</v>
      </c>
      <c r="AS11" s="66">
        <f>15/15</f>
        <v>1</v>
      </c>
      <c r="AT11" s="79">
        <f t="shared" si="4"/>
        <v>0.98250000000000004</v>
      </c>
      <c r="AU11" s="70">
        <v>1</v>
      </c>
      <c r="AV11" s="66">
        <v>1</v>
      </c>
      <c r="AW11" s="66">
        <v>1</v>
      </c>
      <c r="AX11" s="66">
        <v>1</v>
      </c>
      <c r="AY11" s="79">
        <f t="shared" si="5"/>
        <v>1</v>
      </c>
      <c r="AZ11" s="92">
        <v>1</v>
      </c>
      <c r="BA11" s="92">
        <v>1</v>
      </c>
    </row>
    <row r="12" spans="1:53" ht="20.149999999999999" customHeight="1" x14ac:dyDescent="0.35">
      <c r="A12" s="1"/>
      <c r="B12" s="23" t="s">
        <v>18</v>
      </c>
      <c r="C12" s="23"/>
      <c r="D12" s="23"/>
      <c r="E12" s="23"/>
      <c r="F12" s="23"/>
      <c r="G12" s="23"/>
      <c r="H12" s="23"/>
      <c r="I12" s="2"/>
      <c r="J12" s="2"/>
      <c r="K12" s="2"/>
      <c r="L12" s="25">
        <v>0.73</v>
      </c>
      <c r="M12" s="30">
        <v>0.93</v>
      </c>
      <c r="N12" s="30">
        <v>0.8</v>
      </c>
      <c r="O12" s="25">
        <v>0.73</v>
      </c>
      <c r="P12" s="25">
        <f t="shared" si="1"/>
        <v>0.79749999999999999</v>
      </c>
      <c r="Q12" s="25">
        <v>1</v>
      </c>
      <c r="R12" s="25">
        <v>1</v>
      </c>
      <c r="S12" s="25">
        <v>1</v>
      </c>
      <c r="T12" s="36">
        <v>0.93</v>
      </c>
      <c r="U12" s="79">
        <f t="shared" si="6"/>
        <v>0.98250000000000004</v>
      </c>
      <c r="V12" s="70">
        <f t="shared" si="9"/>
        <v>1</v>
      </c>
      <c r="W12" s="66">
        <v>1</v>
      </c>
      <c r="X12" s="66">
        <f>14/15</f>
        <v>0.93333333333333335</v>
      </c>
      <c r="Y12" s="66">
        <v>1</v>
      </c>
      <c r="Z12" s="79">
        <v>0.98333333333333339</v>
      </c>
      <c r="AA12" s="70">
        <f t="shared" si="10"/>
        <v>1</v>
      </c>
      <c r="AB12" s="66">
        <f>13/15</f>
        <v>0.8666666666666667</v>
      </c>
      <c r="AC12" s="66">
        <v>1</v>
      </c>
      <c r="AD12" s="66">
        <v>1</v>
      </c>
      <c r="AE12" s="79">
        <f t="shared" si="3"/>
        <v>0.96666666666666667</v>
      </c>
      <c r="AF12" s="70">
        <v>1</v>
      </c>
      <c r="AG12" s="66">
        <v>1</v>
      </c>
      <c r="AH12" s="66">
        <f t="shared" si="8"/>
        <v>1</v>
      </c>
      <c r="AI12" s="66">
        <v>0.93</v>
      </c>
      <c r="AJ12" s="79">
        <f t="shared" si="7"/>
        <v>0.98250000000000004</v>
      </c>
      <c r="AK12" s="70">
        <v>0.8</v>
      </c>
      <c r="AL12" s="66">
        <v>1</v>
      </c>
      <c r="AM12" s="66">
        <v>1</v>
      </c>
      <c r="AN12" s="66">
        <v>1</v>
      </c>
      <c r="AO12" s="79">
        <v>0.95</v>
      </c>
      <c r="AP12" s="70">
        <v>0.93</v>
      </c>
      <c r="AQ12" s="66">
        <v>0.93</v>
      </c>
      <c r="AR12" s="66">
        <v>1</v>
      </c>
      <c r="AS12" s="66">
        <f>14/15</f>
        <v>0.93333333333333335</v>
      </c>
      <c r="AT12" s="79">
        <f t="shared" si="4"/>
        <v>0.94833333333333347</v>
      </c>
      <c r="AU12" s="70">
        <v>0.33</v>
      </c>
      <c r="AV12" s="66">
        <v>1</v>
      </c>
      <c r="AW12" s="66">
        <v>1</v>
      </c>
      <c r="AX12" s="66">
        <v>1</v>
      </c>
      <c r="AY12" s="79">
        <f t="shared" si="5"/>
        <v>0.83250000000000002</v>
      </c>
      <c r="AZ12" s="92">
        <v>1</v>
      </c>
      <c r="BA12" s="92">
        <v>1</v>
      </c>
    </row>
    <row r="13" spans="1:53" ht="20.149999999999999" customHeight="1" x14ac:dyDescent="0.35">
      <c r="A13" s="2"/>
      <c r="B13" s="23" t="s">
        <v>38</v>
      </c>
      <c r="C13" s="23"/>
      <c r="D13" s="23"/>
      <c r="E13" s="23"/>
      <c r="F13" s="23"/>
      <c r="G13" s="23"/>
      <c r="H13" s="23"/>
      <c r="I13" s="14"/>
      <c r="J13" s="14"/>
      <c r="K13" s="14"/>
      <c r="L13" s="25">
        <v>0.93</v>
      </c>
      <c r="M13" s="32">
        <v>1</v>
      </c>
      <c r="N13" s="32">
        <v>0.8</v>
      </c>
      <c r="O13" s="25">
        <v>1</v>
      </c>
      <c r="P13" s="25">
        <f t="shared" si="1"/>
        <v>0.93250000000000011</v>
      </c>
      <c r="Q13" s="25">
        <v>0.93</v>
      </c>
      <c r="R13" s="25">
        <v>1</v>
      </c>
      <c r="S13" s="25">
        <v>0.73</v>
      </c>
      <c r="T13" s="36">
        <v>0.73</v>
      </c>
      <c r="U13" s="79">
        <f t="shared" si="6"/>
        <v>0.84750000000000003</v>
      </c>
      <c r="V13" s="70">
        <f>14/15</f>
        <v>0.93333333333333335</v>
      </c>
      <c r="W13" s="66">
        <v>1</v>
      </c>
      <c r="X13" s="66">
        <v>1</v>
      </c>
      <c r="Y13" s="66">
        <f>14/15</f>
        <v>0.93333333333333335</v>
      </c>
      <c r="Z13" s="79">
        <v>0.96666666666666679</v>
      </c>
      <c r="AA13" s="70">
        <f>13/15</f>
        <v>0.8666666666666667</v>
      </c>
      <c r="AB13" s="66">
        <f>12/15</f>
        <v>0.8</v>
      </c>
      <c r="AC13" s="66">
        <v>1</v>
      </c>
      <c r="AD13" s="66">
        <f>9/15</f>
        <v>0.6</v>
      </c>
      <c r="AE13" s="79">
        <f t="shared" si="3"/>
        <v>0.81666666666666676</v>
      </c>
      <c r="AF13" s="70">
        <v>0.53</v>
      </c>
      <c r="AG13" s="66">
        <v>0.73</v>
      </c>
      <c r="AH13" s="66">
        <f>4/15</f>
        <v>0.26666666666666666</v>
      </c>
      <c r="AI13" s="66">
        <v>0.4</v>
      </c>
      <c r="AJ13" s="79">
        <f t="shared" si="7"/>
        <v>0.48166666666666669</v>
      </c>
      <c r="AK13" s="70">
        <v>0.33</v>
      </c>
      <c r="AL13" s="66">
        <v>0.6</v>
      </c>
      <c r="AM13" s="66">
        <v>0.8</v>
      </c>
      <c r="AN13" s="66">
        <v>1</v>
      </c>
      <c r="AO13" s="79">
        <v>0.6825</v>
      </c>
      <c r="AP13" s="70">
        <v>0.8</v>
      </c>
      <c r="AQ13" s="66">
        <v>0.26</v>
      </c>
      <c r="AR13" s="66">
        <v>0.8</v>
      </c>
      <c r="AS13" s="66">
        <f>12/15</f>
        <v>0.8</v>
      </c>
      <c r="AT13" s="79">
        <f t="shared" si="4"/>
        <v>0.66500000000000004</v>
      </c>
      <c r="AU13" s="70">
        <v>0.4</v>
      </c>
      <c r="AV13" s="66">
        <v>0.6</v>
      </c>
      <c r="AW13" s="66">
        <v>1</v>
      </c>
      <c r="AX13" s="66">
        <v>1</v>
      </c>
      <c r="AY13" s="79">
        <f t="shared" si="5"/>
        <v>0.75</v>
      </c>
      <c r="AZ13" s="92">
        <v>0.8</v>
      </c>
      <c r="BA13" s="92">
        <v>0.67</v>
      </c>
    </row>
    <row r="14" spans="1:53" ht="20.149999999999999" customHeight="1" x14ac:dyDescent="0.35">
      <c r="A14" s="2"/>
      <c r="B14" s="23" t="s">
        <v>19</v>
      </c>
      <c r="C14" s="23"/>
      <c r="D14" s="23"/>
      <c r="E14" s="23"/>
      <c r="F14" s="23"/>
      <c r="G14" s="23"/>
      <c r="H14" s="23"/>
      <c r="I14" s="14"/>
      <c r="J14" s="14"/>
      <c r="K14" s="14"/>
      <c r="L14" s="25">
        <v>1</v>
      </c>
      <c r="M14" s="32">
        <v>0.1</v>
      </c>
      <c r="N14" s="32">
        <v>1</v>
      </c>
      <c r="O14" s="25">
        <v>1</v>
      </c>
      <c r="P14" s="25">
        <f t="shared" si="1"/>
        <v>0.77500000000000002</v>
      </c>
      <c r="Q14" s="25">
        <v>1</v>
      </c>
      <c r="R14" s="25">
        <v>1</v>
      </c>
      <c r="S14" s="25">
        <v>1</v>
      </c>
      <c r="T14" s="36">
        <v>1</v>
      </c>
      <c r="U14" s="79">
        <f t="shared" si="6"/>
        <v>1</v>
      </c>
      <c r="V14" s="70">
        <f>15/15</f>
        <v>1</v>
      </c>
      <c r="W14" s="66">
        <v>1</v>
      </c>
      <c r="X14" s="66">
        <v>1</v>
      </c>
      <c r="Y14" s="66">
        <v>1</v>
      </c>
      <c r="Z14" s="79">
        <v>1</v>
      </c>
      <c r="AA14" s="70">
        <f>15/15</f>
        <v>1</v>
      </c>
      <c r="AB14" s="66">
        <f>15/15</f>
        <v>1</v>
      </c>
      <c r="AC14" s="66">
        <v>1</v>
      </c>
      <c r="AD14" s="66">
        <v>1</v>
      </c>
      <c r="AE14" s="79">
        <f t="shared" si="3"/>
        <v>1</v>
      </c>
      <c r="AF14" s="70">
        <v>1</v>
      </c>
      <c r="AG14" s="66">
        <v>1</v>
      </c>
      <c r="AH14" s="66">
        <f>15/15</f>
        <v>1</v>
      </c>
      <c r="AI14" s="66">
        <v>1</v>
      </c>
      <c r="AJ14" s="79">
        <f t="shared" si="7"/>
        <v>1</v>
      </c>
      <c r="AK14" s="70">
        <v>1</v>
      </c>
      <c r="AL14" s="66">
        <v>1</v>
      </c>
      <c r="AM14" s="66">
        <v>1</v>
      </c>
      <c r="AN14" s="66">
        <v>1</v>
      </c>
      <c r="AO14" s="79">
        <v>1</v>
      </c>
      <c r="AP14" s="70">
        <v>1</v>
      </c>
      <c r="AQ14" s="66">
        <v>1</v>
      </c>
      <c r="AR14" s="66">
        <v>1</v>
      </c>
      <c r="AS14" s="66">
        <f>14/15</f>
        <v>0.93333333333333335</v>
      </c>
      <c r="AT14" s="79">
        <f t="shared" si="4"/>
        <v>0.98333333333333339</v>
      </c>
      <c r="AU14" s="70">
        <v>1</v>
      </c>
      <c r="AV14" s="66" t="s">
        <v>52</v>
      </c>
      <c r="AW14" s="66" t="s">
        <v>52</v>
      </c>
      <c r="AX14" s="66" t="s">
        <v>52</v>
      </c>
      <c r="AY14" s="79" t="s">
        <v>52</v>
      </c>
      <c r="AZ14" s="92" t="s">
        <v>52</v>
      </c>
      <c r="BA14" s="92" t="s">
        <v>52</v>
      </c>
    </row>
    <row r="15" spans="1:53" ht="20.149999999999999" customHeight="1" x14ac:dyDescent="0.35">
      <c r="A15" s="2"/>
      <c r="B15" s="23" t="s">
        <v>20</v>
      </c>
      <c r="C15" s="23"/>
      <c r="D15" s="23"/>
      <c r="E15" s="23"/>
      <c r="F15" s="23"/>
      <c r="G15" s="23"/>
      <c r="H15" s="23"/>
      <c r="I15" s="13"/>
      <c r="J15" s="13"/>
      <c r="K15" s="13"/>
      <c r="L15" s="25">
        <v>1</v>
      </c>
      <c r="M15" s="33">
        <v>0.8</v>
      </c>
      <c r="N15" s="33">
        <v>0.8</v>
      </c>
      <c r="O15" s="25">
        <v>0.93</v>
      </c>
      <c r="P15" s="25">
        <f t="shared" si="1"/>
        <v>0.88250000000000006</v>
      </c>
      <c r="Q15" s="25">
        <v>1</v>
      </c>
      <c r="R15" s="25">
        <v>0.8</v>
      </c>
      <c r="S15" s="25">
        <v>0.93</v>
      </c>
      <c r="T15" s="36">
        <v>1</v>
      </c>
      <c r="U15" s="79">
        <f t="shared" si="6"/>
        <v>0.9325</v>
      </c>
      <c r="V15" s="70">
        <f>15/15</f>
        <v>1</v>
      </c>
      <c r="W15" s="66">
        <v>1</v>
      </c>
      <c r="X15" s="66">
        <v>1</v>
      </c>
      <c r="Y15" s="66">
        <v>1</v>
      </c>
      <c r="Z15" s="79">
        <v>1</v>
      </c>
      <c r="AA15" s="70">
        <f>8/15</f>
        <v>0.53333333333333333</v>
      </c>
      <c r="AB15" s="66">
        <f>8/15</f>
        <v>0.53333333333333333</v>
      </c>
      <c r="AC15" s="66">
        <f>13/15</f>
        <v>0.8666666666666667</v>
      </c>
      <c r="AD15" s="66">
        <f>12/15</f>
        <v>0.8</v>
      </c>
      <c r="AE15" s="79">
        <f t="shared" si="3"/>
        <v>0.68333333333333335</v>
      </c>
      <c r="AF15" s="70">
        <v>0.73</v>
      </c>
      <c r="AG15" s="66">
        <v>0.53</v>
      </c>
      <c r="AH15" s="66">
        <f>12/15</f>
        <v>0.8</v>
      </c>
      <c r="AI15" s="66">
        <v>0.73</v>
      </c>
      <c r="AJ15" s="79">
        <f t="shared" si="7"/>
        <v>0.69750000000000001</v>
      </c>
      <c r="AK15" s="70">
        <v>0.8</v>
      </c>
      <c r="AL15" s="66">
        <v>0.86</v>
      </c>
      <c r="AM15" s="66">
        <v>0.93</v>
      </c>
      <c r="AN15" s="66">
        <v>1</v>
      </c>
      <c r="AO15" s="79">
        <v>0.89750000000000008</v>
      </c>
      <c r="AP15" s="70">
        <v>1</v>
      </c>
      <c r="AQ15" s="66">
        <v>1</v>
      </c>
      <c r="AR15" s="66">
        <v>1</v>
      </c>
      <c r="AS15" s="66">
        <f>15/15</f>
        <v>1</v>
      </c>
      <c r="AT15" s="79">
        <f t="shared" si="4"/>
        <v>1</v>
      </c>
      <c r="AU15" s="70">
        <v>1</v>
      </c>
      <c r="AV15" s="66">
        <v>1</v>
      </c>
      <c r="AW15" s="66">
        <v>0.93</v>
      </c>
      <c r="AX15" s="66">
        <v>1</v>
      </c>
      <c r="AY15" s="79">
        <f t="shared" si="5"/>
        <v>0.98250000000000004</v>
      </c>
      <c r="AZ15" s="92">
        <v>1</v>
      </c>
      <c r="BA15" s="92">
        <v>0.87</v>
      </c>
    </row>
    <row r="16" spans="1:53" ht="20.149999999999999" customHeight="1" x14ac:dyDescent="0.35">
      <c r="A16" s="2"/>
      <c r="B16" s="23" t="s">
        <v>21</v>
      </c>
      <c r="C16" s="23"/>
      <c r="D16" s="23"/>
      <c r="E16" s="23"/>
      <c r="F16" s="23"/>
      <c r="G16" s="23"/>
      <c r="H16" s="23"/>
      <c r="I16" s="13"/>
      <c r="J16" s="13"/>
      <c r="K16" s="13"/>
      <c r="L16" s="25">
        <v>1</v>
      </c>
      <c r="M16" s="33">
        <v>1</v>
      </c>
      <c r="N16" s="33">
        <v>1</v>
      </c>
      <c r="O16" s="25">
        <v>1</v>
      </c>
      <c r="P16" s="25">
        <f t="shared" si="1"/>
        <v>1</v>
      </c>
      <c r="Q16" s="25">
        <v>1</v>
      </c>
      <c r="R16" s="25">
        <v>1</v>
      </c>
      <c r="S16" s="25">
        <v>1</v>
      </c>
      <c r="T16" s="36">
        <v>0.8</v>
      </c>
      <c r="U16" s="79">
        <f t="shared" si="6"/>
        <v>0.95</v>
      </c>
      <c r="V16" s="70">
        <f>6/6</f>
        <v>1</v>
      </c>
      <c r="W16" s="66">
        <v>1</v>
      </c>
      <c r="X16" s="66">
        <v>1</v>
      </c>
      <c r="Y16" s="66">
        <v>1</v>
      </c>
      <c r="Z16" s="79">
        <v>1</v>
      </c>
      <c r="AA16" s="70">
        <f>5/5</f>
        <v>1</v>
      </c>
      <c r="AB16" s="66">
        <f>4/4</f>
        <v>1</v>
      </c>
      <c r="AC16" s="66">
        <v>1</v>
      </c>
      <c r="AD16" s="66">
        <v>1</v>
      </c>
      <c r="AE16" s="79">
        <f t="shared" si="3"/>
        <v>1</v>
      </c>
      <c r="AF16" s="70">
        <v>1</v>
      </c>
      <c r="AG16" s="66">
        <v>1</v>
      </c>
      <c r="AH16" s="66">
        <f>3/3</f>
        <v>1</v>
      </c>
      <c r="AI16" s="66">
        <v>1</v>
      </c>
      <c r="AJ16" s="79">
        <f t="shared" si="7"/>
        <v>1</v>
      </c>
      <c r="AK16" s="70">
        <v>1</v>
      </c>
      <c r="AL16" s="66">
        <v>1</v>
      </c>
      <c r="AM16" s="66">
        <v>1</v>
      </c>
      <c r="AN16" s="66">
        <v>1</v>
      </c>
      <c r="AO16" s="79">
        <v>1</v>
      </c>
      <c r="AP16" s="70">
        <v>0.9</v>
      </c>
      <c r="AQ16" s="66">
        <v>1</v>
      </c>
      <c r="AR16" s="66">
        <v>1</v>
      </c>
      <c r="AS16" s="66">
        <f>7/7</f>
        <v>1</v>
      </c>
      <c r="AT16" s="79">
        <f t="shared" si="4"/>
        <v>0.97499999999999998</v>
      </c>
      <c r="AU16" s="70">
        <v>0.81</v>
      </c>
      <c r="AV16" s="66">
        <v>1</v>
      </c>
      <c r="AW16" s="66">
        <v>1</v>
      </c>
      <c r="AX16" s="66">
        <v>1</v>
      </c>
      <c r="AY16" s="79">
        <f t="shared" si="5"/>
        <v>0.95250000000000001</v>
      </c>
      <c r="AZ16" s="92">
        <v>1</v>
      </c>
      <c r="BA16" s="92">
        <v>1</v>
      </c>
    </row>
    <row r="17" spans="1:53" ht="30" customHeight="1" x14ac:dyDescent="0.35">
      <c r="A17" s="12"/>
      <c r="B17" s="97" t="s">
        <v>22</v>
      </c>
      <c r="C17" s="98"/>
      <c r="D17" s="98"/>
      <c r="E17" s="98"/>
      <c r="F17" s="98"/>
      <c r="G17" s="98"/>
      <c r="H17" s="23"/>
      <c r="I17" s="14"/>
      <c r="J17" s="14"/>
      <c r="K17" s="14"/>
      <c r="L17" s="25">
        <v>1</v>
      </c>
      <c r="M17" s="32">
        <v>1</v>
      </c>
      <c r="N17" s="32">
        <v>1</v>
      </c>
      <c r="O17" s="25">
        <v>1</v>
      </c>
      <c r="P17" s="25">
        <f t="shared" si="1"/>
        <v>1</v>
      </c>
      <c r="Q17" s="25">
        <v>1</v>
      </c>
      <c r="R17" s="25">
        <v>1</v>
      </c>
      <c r="S17" s="25">
        <v>1</v>
      </c>
      <c r="T17" s="36">
        <v>1</v>
      </c>
      <c r="U17" s="79">
        <f t="shared" si="6"/>
        <v>1</v>
      </c>
      <c r="V17" s="70">
        <f>6/6</f>
        <v>1</v>
      </c>
      <c r="W17" s="66">
        <v>1</v>
      </c>
      <c r="X17" s="66">
        <v>1</v>
      </c>
      <c r="Y17" s="66">
        <v>1</v>
      </c>
      <c r="Z17" s="79">
        <v>1</v>
      </c>
      <c r="AA17" s="70">
        <f>5/5</f>
        <v>1</v>
      </c>
      <c r="AB17" s="66">
        <f>4/4</f>
        <v>1</v>
      </c>
      <c r="AC17" s="66">
        <v>1</v>
      </c>
      <c r="AD17" s="66">
        <v>1</v>
      </c>
      <c r="AE17" s="79">
        <f t="shared" si="3"/>
        <v>1</v>
      </c>
      <c r="AF17" s="70">
        <v>1</v>
      </c>
      <c r="AG17" s="66">
        <v>1</v>
      </c>
      <c r="AH17" s="66">
        <f>3/3</f>
        <v>1</v>
      </c>
      <c r="AI17" s="66">
        <v>1</v>
      </c>
      <c r="AJ17" s="79">
        <f t="shared" si="7"/>
        <v>1</v>
      </c>
      <c r="AK17" s="70">
        <v>1</v>
      </c>
      <c r="AL17" s="66">
        <v>1</v>
      </c>
      <c r="AM17" s="66">
        <v>1</v>
      </c>
      <c r="AN17" s="66">
        <v>1</v>
      </c>
      <c r="AO17" s="79">
        <v>1</v>
      </c>
      <c r="AP17" s="70">
        <v>0.87</v>
      </c>
      <c r="AQ17" s="66">
        <v>0.87</v>
      </c>
      <c r="AR17" s="66">
        <v>1</v>
      </c>
      <c r="AS17" s="66">
        <f>7/7</f>
        <v>1</v>
      </c>
      <c r="AT17" s="79">
        <f t="shared" si="4"/>
        <v>0.93500000000000005</v>
      </c>
      <c r="AU17" s="70">
        <v>0.8</v>
      </c>
      <c r="AV17" s="66">
        <v>0.88</v>
      </c>
      <c r="AW17" s="66">
        <v>1</v>
      </c>
      <c r="AX17" s="66">
        <v>1</v>
      </c>
      <c r="AY17" s="79">
        <f t="shared" si="5"/>
        <v>0.92</v>
      </c>
      <c r="AZ17" s="92">
        <v>1</v>
      </c>
      <c r="BA17" s="92">
        <v>1</v>
      </c>
    </row>
    <row r="18" spans="1:53" ht="20.149999999999999" customHeight="1" x14ac:dyDescent="0.35">
      <c r="A18" s="2"/>
      <c r="B18" s="20" t="s">
        <v>23</v>
      </c>
      <c r="C18" s="14"/>
      <c r="D18" s="14"/>
      <c r="E18" s="14"/>
      <c r="F18" s="14"/>
      <c r="G18" s="14"/>
      <c r="H18" s="14"/>
      <c r="I18" s="14"/>
      <c r="J18" s="14"/>
      <c r="K18" s="14"/>
      <c r="L18" s="25"/>
      <c r="M18" s="31"/>
      <c r="N18" s="31"/>
      <c r="O18" s="11" t="s">
        <v>4</v>
      </c>
      <c r="P18" s="25" t="s">
        <v>4</v>
      </c>
      <c r="Q18" s="25"/>
      <c r="R18" s="25"/>
      <c r="S18" s="25"/>
      <c r="T18" s="36"/>
      <c r="U18" s="56"/>
      <c r="V18" s="48"/>
      <c r="W18" s="48"/>
      <c r="X18" s="48"/>
      <c r="Y18" s="48"/>
      <c r="Z18" s="56"/>
      <c r="AA18" s="48"/>
      <c r="AB18" s="48"/>
      <c r="AC18" s="48"/>
      <c r="AD18" s="48"/>
      <c r="AE18" s="56"/>
      <c r="AF18" s="48"/>
      <c r="AG18" s="48"/>
      <c r="AH18" s="48"/>
      <c r="AI18" s="48"/>
      <c r="AJ18" s="56" t="s">
        <v>4</v>
      </c>
      <c r="AK18" s="48"/>
      <c r="AL18" s="48"/>
      <c r="AM18" s="48"/>
      <c r="AN18" s="48"/>
      <c r="AO18" s="56" t="s">
        <v>4</v>
      </c>
      <c r="AP18" s="48"/>
      <c r="AQ18" s="48"/>
      <c r="AR18" s="48"/>
      <c r="AS18" s="48"/>
      <c r="AT18" s="56"/>
      <c r="AU18" s="48"/>
      <c r="AV18" s="48"/>
      <c r="AW18" s="48"/>
      <c r="AX18" s="48"/>
      <c r="AY18" s="56"/>
      <c r="AZ18" s="48"/>
      <c r="BA18" s="48"/>
    </row>
    <row r="19" spans="1:53" ht="20.149999999999999" customHeight="1" x14ac:dyDescent="0.35">
      <c r="A19" s="1"/>
      <c r="B19" s="23" t="s">
        <v>24</v>
      </c>
      <c r="C19" s="23"/>
      <c r="D19" s="23"/>
      <c r="E19" s="23"/>
      <c r="F19" s="23"/>
      <c r="G19" s="2"/>
      <c r="H19" s="2"/>
      <c r="I19" s="2"/>
      <c r="J19" s="2"/>
      <c r="K19" s="2"/>
      <c r="L19" s="25">
        <v>0.73</v>
      </c>
      <c r="M19" s="30">
        <v>0.73</v>
      </c>
      <c r="N19" s="30">
        <v>0.73</v>
      </c>
      <c r="O19" s="25">
        <v>0.93</v>
      </c>
      <c r="P19" s="25">
        <f t="shared" si="1"/>
        <v>0.78</v>
      </c>
      <c r="Q19" s="25">
        <v>1</v>
      </c>
      <c r="R19" s="25">
        <v>1</v>
      </c>
      <c r="S19" s="25">
        <v>0.93</v>
      </c>
      <c r="T19" s="36">
        <v>0.93</v>
      </c>
      <c r="U19" s="79">
        <f t="shared" ref="U19:U28" si="11">AVERAGE(Q19:T19)</f>
        <v>0.96500000000000008</v>
      </c>
      <c r="V19" s="70">
        <f>12/15</f>
        <v>0.8</v>
      </c>
      <c r="W19" s="66">
        <v>1</v>
      </c>
      <c r="X19" s="66">
        <v>1</v>
      </c>
      <c r="Y19" s="66">
        <f>14/15</f>
        <v>0.93333333333333335</v>
      </c>
      <c r="Z19" s="79">
        <v>0.93333333333333335</v>
      </c>
      <c r="AA19" s="70">
        <f>15/15</f>
        <v>1</v>
      </c>
      <c r="AB19" s="66">
        <f>15/15</f>
        <v>1</v>
      </c>
      <c r="AC19" s="66">
        <v>0.66</v>
      </c>
      <c r="AD19" s="66">
        <v>1</v>
      </c>
      <c r="AE19" s="79">
        <f t="shared" si="3"/>
        <v>0.91500000000000004</v>
      </c>
      <c r="AF19" s="70">
        <v>1</v>
      </c>
      <c r="AG19" s="66">
        <v>1</v>
      </c>
      <c r="AH19" s="66">
        <f>14/14</f>
        <v>1</v>
      </c>
      <c r="AI19" s="66">
        <v>1</v>
      </c>
      <c r="AJ19" s="79">
        <f t="shared" si="7"/>
        <v>1</v>
      </c>
      <c r="AK19" s="70">
        <v>1</v>
      </c>
      <c r="AL19" s="66">
        <v>1</v>
      </c>
      <c r="AM19" s="66">
        <v>1</v>
      </c>
      <c r="AN19" s="66">
        <v>1</v>
      </c>
      <c r="AO19" s="79">
        <v>1</v>
      </c>
      <c r="AP19" s="70">
        <v>1</v>
      </c>
      <c r="AQ19" s="66">
        <v>0.93</v>
      </c>
      <c r="AR19" s="66">
        <v>0.93</v>
      </c>
      <c r="AS19" s="66">
        <f>14/15</f>
        <v>0.93333333333333335</v>
      </c>
      <c r="AT19" s="79">
        <f t="shared" si="4"/>
        <v>0.94833333333333347</v>
      </c>
      <c r="AU19" s="70">
        <v>1</v>
      </c>
      <c r="AV19" s="66">
        <v>1</v>
      </c>
      <c r="AW19" s="66">
        <v>1</v>
      </c>
      <c r="AX19" s="66">
        <v>1</v>
      </c>
      <c r="AY19" s="79">
        <f t="shared" si="5"/>
        <v>1</v>
      </c>
      <c r="AZ19" s="92">
        <v>1</v>
      </c>
      <c r="BA19" s="92">
        <v>1</v>
      </c>
    </row>
    <row r="20" spans="1:53" ht="20.149999999999999" customHeight="1" x14ac:dyDescent="0.35">
      <c r="A20" s="2"/>
      <c r="B20" s="23" t="s">
        <v>25</v>
      </c>
      <c r="C20" s="23"/>
      <c r="D20" s="23"/>
      <c r="E20" s="23"/>
      <c r="F20" s="23"/>
      <c r="G20" s="14"/>
      <c r="H20" s="14"/>
      <c r="I20" s="14"/>
      <c r="J20" s="14"/>
      <c r="K20" s="14"/>
      <c r="L20" s="25">
        <v>0.66</v>
      </c>
      <c r="M20" s="32">
        <v>0.33</v>
      </c>
      <c r="N20" s="32">
        <v>0.6</v>
      </c>
      <c r="O20" s="25">
        <v>0.67</v>
      </c>
      <c r="P20" s="25">
        <f t="shared" si="1"/>
        <v>0.56499999999999995</v>
      </c>
      <c r="Q20" s="25">
        <v>0.73</v>
      </c>
      <c r="R20" s="25">
        <f>11/15</f>
        <v>0.73333333333333328</v>
      </c>
      <c r="S20" s="25">
        <v>0.73</v>
      </c>
      <c r="T20" s="36">
        <v>0.8</v>
      </c>
      <c r="U20" s="79">
        <f t="shared" si="11"/>
        <v>0.74833333333333329</v>
      </c>
      <c r="V20" s="70">
        <f>8/15</f>
        <v>0.53333333333333333</v>
      </c>
      <c r="W20" s="66">
        <v>0.6</v>
      </c>
      <c r="X20" s="66">
        <f>10/15</f>
        <v>0.66666666666666663</v>
      </c>
      <c r="Y20" s="66">
        <f>8/14</f>
        <v>0.5714285714285714</v>
      </c>
      <c r="Z20" s="79">
        <v>0.59285714285714275</v>
      </c>
      <c r="AA20" s="70">
        <f>10/15</f>
        <v>0.66666666666666663</v>
      </c>
      <c r="AB20" s="66">
        <f>10/15</f>
        <v>0.66666666666666663</v>
      </c>
      <c r="AC20" s="66">
        <v>0.53</v>
      </c>
      <c r="AD20" s="66">
        <f>10/15</f>
        <v>0.66666666666666663</v>
      </c>
      <c r="AE20" s="79">
        <f t="shared" si="3"/>
        <v>0.63249999999999995</v>
      </c>
      <c r="AF20" s="70">
        <v>0.93</v>
      </c>
      <c r="AG20" s="66">
        <v>0.67</v>
      </c>
      <c r="AH20" s="66">
        <f>10/14</f>
        <v>0.7142857142857143</v>
      </c>
      <c r="AI20" s="66">
        <f>14/15</f>
        <v>0.93333333333333335</v>
      </c>
      <c r="AJ20" s="79">
        <f t="shared" si="7"/>
        <v>0.81190476190476191</v>
      </c>
      <c r="AK20" s="70">
        <v>0.8</v>
      </c>
      <c r="AL20" s="66">
        <v>0.93</v>
      </c>
      <c r="AM20" s="66">
        <v>0.79</v>
      </c>
      <c r="AN20" s="66">
        <v>1</v>
      </c>
      <c r="AO20" s="79">
        <v>0.88</v>
      </c>
      <c r="AP20" s="70">
        <v>0.06</v>
      </c>
      <c r="AQ20" s="66">
        <v>0.13</v>
      </c>
      <c r="AR20" s="66">
        <v>0.26</v>
      </c>
      <c r="AS20" s="66">
        <f>8/15</f>
        <v>0.53333333333333333</v>
      </c>
      <c r="AT20" s="79">
        <f t="shared" si="4"/>
        <v>0.24583333333333335</v>
      </c>
      <c r="AU20" s="70">
        <v>0.53</v>
      </c>
      <c r="AV20" s="66">
        <v>0.33</v>
      </c>
      <c r="AW20" s="66">
        <v>0.53</v>
      </c>
      <c r="AX20" s="66">
        <v>0</v>
      </c>
      <c r="AY20" s="79">
        <f t="shared" si="5"/>
        <v>0.34750000000000003</v>
      </c>
      <c r="AZ20" s="92">
        <v>0.4</v>
      </c>
      <c r="BA20" s="92">
        <v>0</v>
      </c>
    </row>
    <row r="21" spans="1:53" ht="20.149999999999999" customHeight="1" x14ac:dyDescent="0.35">
      <c r="B21" s="20" t="s">
        <v>54</v>
      </c>
      <c r="L21" s="25"/>
      <c r="M21" s="11"/>
      <c r="N21" s="11"/>
      <c r="O21" s="11"/>
      <c r="P21" s="25" t="s">
        <v>4</v>
      </c>
      <c r="Q21" s="25"/>
      <c r="R21" s="25"/>
      <c r="S21" s="25"/>
      <c r="T21" s="36"/>
      <c r="U21" s="56" t="s">
        <v>4</v>
      </c>
      <c r="V21" s="48"/>
      <c r="W21" s="48"/>
      <c r="X21" s="48"/>
      <c r="Y21" s="48"/>
      <c r="Z21" s="56"/>
      <c r="AA21" s="48"/>
      <c r="AB21" s="48"/>
      <c r="AC21" s="48"/>
      <c r="AD21" s="48"/>
      <c r="AE21" s="56"/>
      <c r="AF21" s="48"/>
      <c r="AG21" s="48"/>
      <c r="AH21" s="48"/>
      <c r="AI21" s="48"/>
      <c r="AJ21" s="56"/>
      <c r="AK21" s="48"/>
      <c r="AL21" s="48"/>
      <c r="AM21" s="48"/>
      <c r="AN21" s="48"/>
      <c r="AO21" s="56"/>
      <c r="AP21" s="48"/>
      <c r="AQ21" s="48"/>
      <c r="AR21" s="48"/>
      <c r="AS21" s="48"/>
      <c r="AT21" s="56"/>
      <c r="AU21" s="48"/>
      <c r="AV21" s="48"/>
      <c r="AW21" s="48"/>
      <c r="AX21" s="48"/>
      <c r="AY21" s="56"/>
      <c r="AZ21" s="48"/>
      <c r="BA21" s="48"/>
    </row>
    <row r="22" spans="1:53" ht="20.149999999999999" customHeight="1" x14ac:dyDescent="0.35">
      <c r="B22" s="23" t="s">
        <v>26</v>
      </c>
      <c r="C22" s="23"/>
      <c r="D22" s="23"/>
      <c r="E22" s="23"/>
      <c r="F22" s="23"/>
      <c r="G22" s="23"/>
      <c r="H22" s="23"/>
      <c r="L22" s="25">
        <v>1</v>
      </c>
      <c r="M22" s="25">
        <v>1</v>
      </c>
      <c r="N22" s="25">
        <v>0.91</v>
      </c>
      <c r="O22" s="25">
        <v>1</v>
      </c>
      <c r="P22" s="25">
        <f t="shared" si="1"/>
        <v>0.97750000000000004</v>
      </c>
      <c r="Q22" s="25">
        <v>0.44</v>
      </c>
      <c r="R22" s="25">
        <f>9/11</f>
        <v>0.81818181818181823</v>
      </c>
      <c r="S22" s="25">
        <v>0.6</v>
      </c>
      <c r="T22" s="36">
        <v>0.5</v>
      </c>
      <c r="U22" s="79">
        <f t="shared" si="11"/>
        <v>0.58954545454545459</v>
      </c>
      <c r="V22" s="70">
        <f>5/7</f>
        <v>0.7142857142857143</v>
      </c>
      <c r="W22" s="66">
        <v>1</v>
      </c>
      <c r="X22" s="66">
        <f>12/15</f>
        <v>0.8</v>
      </c>
      <c r="Y22" s="66">
        <v>1</v>
      </c>
      <c r="Z22" s="79">
        <v>0.87857142857142856</v>
      </c>
      <c r="AA22" s="70">
        <f>8/9</f>
        <v>0.88888888888888884</v>
      </c>
      <c r="AB22" s="66">
        <f>11/11</f>
        <v>1</v>
      </c>
      <c r="AC22" s="66">
        <v>0.62</v>
      </c>
      <c r="AD22" s="66">
        <f>5/6</f>
        <v>0.83333333333333337</v>
      </c>
      <c r="AE22" s="79">
        <f t="shared" si="3"/>
        <v>0.83555555555555561</v>
      </c>
      <c r="AF22" s="70">
        <v>0.9</v>
      </c>
      <c r="AG22" s="66">
        <v>1</v>
      </c>
      <c r="AH22" s="66">
        <f>7/9</f>
        <v>0.77777777777777779</v>
      </c>
      <c r="AI22" s="66">
        <v>0.51</v>
      </c>
      <c r="AJ22" s="79">
        <f>AVERAGE(AF22:AI22)</f>
        <v>0.79694444444444446</v>
      </c>
      <c r="AK22" s="70">
        <v>1</v>
      </c>
      <c r="AL22" s="66">
        <v>1</v>
      </c>
      <c r="AM22" s="66">
        <v>0.89</v>
      </c>
      <c r="AN22" s="66">
        <v>1</v>
      </c>
      <c r="AO22" s="79">
        <v>0.97250000000000003</v>
      </c>
      <c r="AP22" s="70">
        <v>1</v>
      </c>
      <c r="AQ22" s="66">
        <v>1</v>
      </c>
      <c r="AR22" s="66">
        <v>1</v>
      </c>
      <c r="AS22" s="66">
        <f>15/15</f>
        <v>1</v>
      </c>
      <c r="AT22" s="79">
        <f t="shared" si="4"/>
        <v>1</v>
      </c>
      <c r="AU22" s="70">
        <v>0.73</v>
      </c>
      <c r="AV22" s="66">
        <v>1</v>
      </c>
      <c r="AW22" s="66">
        <v>1</v>
      </c>
      <c r="AX22" s="66">
        <v>0.93</v>
      </c>
      <c r="AY22" s="79">
        <f t="shared" si="5"/>
        <v>0.91500000000000004</v>
      </c>
      <c r="AZ22" s="92">
        <v>1</v>
      </c>
      <c r="BA22" s="92">
        <v>1</v>
      </c>
    </row>
    <row r="23" spans="1:53" ht="20.149999999999999" customHeight="1" x14ac:dyDescent="0.35">
      <c r="B23" s="23" t="s">
        <v>27</v>
      </c>
      <c r="C23" s="23"/>
      <c r="D23" s="23"/>
      <c r="E23" s="23"/>
      <c r="F23" s="23"/>
      <c r="G23" s="23"/>
      <c r="H23" s="23"/>
      <c r="L23" s="25">
        <v>1</v>
      </c>
      <c r="M23" s="25">
        <v>1</v>
      </c>
      <c r="N23" s="25">
        <v>0.93</v>
      </c>
      <c r="O23" s="25">
        <v>1</v>
      </c>
      <c r="P23" s="25">
        <f t="shared" si="1"/>
        <v>0.98250000000000004</v>
      </c>
      <c r="Q23" s="25">
        <v>1</v>
      </c>
      <c r="R23" s="25">
        <v>1</v>
      </c>
      <c r="S23" s="25">
        <v>1</v>
      </c>
      <c r="T23" s="36">
        <v>1</v>
      </c>
      <c r="U23" s="79">
        <f t="shared" si="11"/>
        <v>1</v>
      </c>
      <c r="V23" s="70">
        <f>11/11</f>
        <v>1</v>
      </c>
      <c r="W23" s="66">
        <v>1</v>
      </c>
      <c r="X23" s="66">
        <v>1</v>
      </c>
      <c r="Y23" s="66">
        <v>1</v>
      </c>
      <c r="Z23" s="79">
        <v>1</v>
      </c>
      <c r="AA23" s="70">
        <f>15/15</f>
        <v>1</v>
      </c>
      <c r="AB23" s="66">
        <f>15/15</f>
        <v>1</v>
      </c>
      <c r="AC23" s="66">
        <v>0.92</v>
      </c>
      <c r="AD23" s="66">
        <v>1</v>
      </c>
      <c r="AE23" s="79">
        <f t="shared" si="3"/>
        <v>0.98</v>
      </c>
      <c r="AF23" s="70">
        <v>0.93</v>
      </c>
      <c r="AG23" s="66">
        <v>1</v>
      </c>
      <c r="AH23" s="66">
        <f>13/13</f>
        <v>1</v>
      </c>
      <c r="AI23" s="66">
        <v>1</v>
      </c>
      <c r="AJ23" s="79">
        <f t="shared" ref="AJ23:AJ41" si="12">AVERAGE(AF23:AI23)</f>
        <v>0.98250000000000004</v>
      </c>
      <c r="AK23" s="70">
        <v>1</v>
      </c>
      <c r="AL23" s="66">
        <v>1</v>
      </c>
      <c r="AM23" s="66">
        <v>1</v>
      </c>
      <c r="AN23" s="66">
        <v>1</v>
      </c>
      <c r="AO23" s="79">
        <v>1</v>
      </c>
      <c r="AP23" s="70">
        <v>1</v>
      </c>
      <c r="AQ23" s="66">
        <v>1</v>
      </c>
      <c r="AR23" s="66">
        <v>1</v>
      </c>
      <c r="AS23" s="66">
        <f t="shared" ref="AS23:AS28" si="13">15/15</f>
        <v>1</v>
      </c>
      <c r="AT23" s="79">
        <f t="shared" si="4"/>
        <v>1</v>
      </c>
      <c r="AU23" s="70">
        <v>1</v>
      </c>
      <c r="AV23" s="66">
        <v>1</v>
      </c>
      <c r="AW23" s="66">
        <v>1</v>
      </c>
      <c r="AX23" s="66">
        <v>1</v>
      </c>
      <c r="AY23" s="79">
        <f t="shared" si="5"/>
        <v>1</v>
      </c>
      <c r="AZ23" s="92">
        <v>1</v>
      </c>
      <c r="BA23" s="92">
        <v>1</v>
      </c>
    </row>
    <row r="24" spans="1:53" ht="20.149999999999999" customHeight="1" x14ac:dyDescent="0.35">
      <c r="B24" s="23" t="s">
        <v>28</v>
      </c>
      <c r="C24" s="23"/>
      <c r="D24" s="23"/>
      <c r="E24" s="23"/>
      <c r="F24" s="23"/>
      <c r="G24" s="23"/>
      <c r="H24" s="23"/>
      <c r="L24" s="25">
        <v>1</v>
      </c>
      <c r="M24" s="25">
        <v>1</v>
      </c>
      <c r="N24" s="25">
        <v>1</v>
      </c>
      <c r="O24" s="25">
        <v>1</v>
      </c>
      <c r="P24" s="25">
        <f t="shared" si="1"/>
        <v>1</v>
      </c>
      <c r="Q24" s="25">
        <v>1</v>
      </c>
      <c r="R24" s="25">
        <v>1</v>
      </c>
      <c r="S24" s="25">
        <v>1</v>
      </c>
      <c r="T24" s="36">
        <v>1</v>
      </c>
      <c r="U24" s="79">
        <f t="shared" si="11"/>
        <v>1</v>
      </c>
      <c r="V24" s="70">
        <f>11/11</f>
        <v>1</v>
      </c>
      <c r="W24" s="66">
        <v>0.75</v>
      </c>
      <c r="X24" s="66">
        <v>1</v>
      </c>
      <c r="Y24" s="66">
        <v>1</v>
      </c>
      <c r="Z24" s="79">
        <v>0.9375</v>
      </c>
      <c r="AA24" s="70">
        <f t="shared" ref="AA24:AA28" si="14">15/15</f>
        <v>1</v>
      </c>
      <c r="AB24" s="66">
        <f>14/14</f>
        <v>1</v>
      </c>
      <c r="AC24" s="66">
        <v>0.92</v>
      </c>
      <c r="AD24" s="66">
        <v>1</v>
      </c>
      <c r="AE24" s="79">
        <f t="shared" si="3"/>
        <v>0.98</v>
      </c>
      <c r="AF24" s="70">
        <v>0.93</v>
      </c>
      <c r="AG24" s="66">
        <v>1</v>
      </c>
      <c r="AH24" s="66">
        <f t="shared" ref="AH24:AH28" si="15">13/13</f>
        <v>1</v>
      </c>
      <c r="AI24" s="66">
        <v>1</v>
      </c>
      <c r="AJ24" s="79">
        <f t="shared" si="12"/>
        <v>0.98250000000000004</v>
      </c>
      <c r="AK24" s="70">
        <v>1</v>
      </c>
      <c r="AL24" s="66">
        <v>1</v>
      </c>
      <c r="AM24" s="66">
        <v>1</v>
      </c>
      <c r="AN24" s="66">
        <v>1</v>
      </c>
      <c r="AO24" s="79">
        <v>1</v>
      </c>
      <c r="AP24" s="70">
        <v>1</v>
      </c>
      <c r="AQ24" s="66">
        <v>1</v>
      </c>
      <c r="AR24" s="66">
        <v>1</v>
      </c>
      <c r="AS24" s="66">
        <f t="shared" si="13"/>
        <v>1</v>
      </c>
      <c r="AT24" s="79">
        <f t="shared" si="4"/>
        <v>1</v>
      </c>
      <c r="AU24" s="70">
        <v>1</v>
      </c>
      <c r="AV24" s="66">
        <v>1</v>
      </c>
      <c r="AW24" s="66">
        <v>1</v>
      </c>
      <c r="AX24" s="66">
        <v>1</v>
      </c>
      <c r="AY24" s="79">
        <f t="shared" si="5"/>
        <v>1</v>
      </c>
      <c r="AZ24" s="92">
        <v>1</v>
      </c>
      <c r="BA24" s="92">
        <v>1</v>
      </c>
    </row>
    <row r="25" spans="1:53" ht="20.149999999999999" customHeight="1" x14ac:dyDescent="0.35">
      <c r="B25" s="23" t="s">
        <v>29</v>
      </c>
      <c r="C25" s="23"/>
      <c r="D25" s="23"/>
      <c r="E25" s="23"/>
      <c r="F25" s="23"/>
      <c r="G25" s="23"/>
      <c r="H25" s="23"/>
      <c r="L25" s="25">
        <v>1</v>
      </c>
      <c r="M25" s="25">
        <v>1</v>
      </c>
      <c r="N25" s="25">
        <v>1</v>
      </c>
      <c r="O25" s="25"/>
      <c r="P25" s="25">
        <f t="shared" si="1"/>
        <v>1</v>
      </c>
      <c r="Q25" s="25">
        <v>0</v>
      </c>
      <c r="R25" s="25">
        <v>0</v>
      </c>
      <c r="S25" s="25">
        <v>0</v>
      </c>
      <c r="T25" s="36"/>
      <c r="U25" s="79">
        <f t="shared" si="11"/>
        <v>0</v>
      </c>
      <c r="V25" s="70"/>
      <c r="W25" s="66"/>
      <c r="X25" s="66"/>
      <c r="Y25" s="66" t="s">
        <v>51</v>
      </c>
      <c r="Z25" s="79"/>
      <c r="AA25" s="70" t="s">
        <v>4</v>
      </c>
      <c r="AB25" s="66" t="s">
        <v>51</v>
      </c>
      <c r="AC25" s="66" t="s">
        <v>51</v>
      </c>
      <c r="AD25" s="66" t="s">
        <v>51</v>
      </c>
      <c r="AE25" s="79"/>
      <c r="AF25" s="70">
        <v>0.93</v>
      </c>
      <c r="AG25" s="66">
        <v>0.47</v>
      </c>
      <c r="AH25" s="66">
        <f t="shared" si="15"/>
        <v>1</v>
      </c>
      <c r="AI25" s="66">
        <v>1</v>
      </c>
      <c r="AJ25" s="79">
        <f t="shared" si="12"/>
        <v>0.85</v>
      </c>
      <c r="AK25" s="70">
        <v>1</v>
      </c>
      <c r="AL25" s="66">
        <v>0.86</v>
      </c>
      <c r="AM25" s="66">
        <v>1</v>
      </c>
      <c r="AN25" s="66">
        <v>1</v>
      </c>
      <c r="AO25" s="79">
        <v>0.96499999999999997</v>
      </c>
      <c r="AP25" s="70">
        <v>1</v>
      </c>
      <c r="AQ25" s="66">
        <v>1</v>
      </c>
      <c r="AR25" s="66">
        <v>1</v>
      </c>
      <c r="AS25" s="66">
        <f t="shared" si="13"/>
        <v>1</v>
      </c>
      <c r="AT25" s="79">
        <f t="shared" si="4"/>
        <v>1</v>
      </c>
      <c r="AU25" s="70">
        <v>0.93</v>
      </c>
      <c r="AV25" s="66">
        <v>1</v>
      </c>
      <c r="AW25" s="66">
        <v>1</v>
      </c>
      <c r="AX25" s="66">
        <v>1</v>
      </c>
      <c r="AY25" s="79">
        <f t="shared" si="5"/>
        <v>0.98250000000000004</v>
      </c>
      <c r="AZ25" s="92">
        <v>1</v>
      </c>
      <c r="BA25" s="92">
        <v>1</v>
      </c>
    </row>
    <row r="26" spans="1:53" ht="20.149999999999999" customHeight="1" x14ac:dyDescent="0.35">
      <c r="B26" s="23" t="s">
        <v>30</v>
      </c>
      <c r="C26" s="23"/>
      <c r="D26" s="23"/>
      <c r="E26" s="23"/>
      <c r="F26" s="23"/>
      <c r="G26" s="23"/>
      <c r="H26" s="23"/>
      <c r="L26" s="25">
        <v>1</v>
      </c>
      <c r="M26" s="25">
        <v>1</v>
      </c>
      <c r="N26" s="25">
        <v>1</v>
      </c>
      <c r="O26" s="25"/>
      <c r="P26" s="25">
        <f t="shared" si="1"/>
        <v>1</v>
      </c>
      <c r="Q26" s="25">
        <v>0</v>
      </c>
      <c r="R26" s="25">
        <v>0</v>
      </c>
      <c r="S26" s="25">
        <v>0</v>
      </c>
      <c r="T26" s="36"/>
      <c r="U26" s="79">
        <f t="shared" si="11"/>
        <v>0</v>
      </c>
      <c r="V26" s="70"/>
      <c r="W26" s="66"/>
      <c r="X26" s="66"/>
      <c r="Y26" s="66" t="s">
        <v>51</v>
      </c>
      <c r="Z26" s="79"/>
      <c r="AA26" s="70"/>
      <c r="AB26" s="66" t="s">
        <v>51</v>
      </c>
      <c r="AC26" s="66" t="s">
        <v>51</v>
      </c>
      <c r="AD26" s="66" t="s">
        <v>51</v>
      </c>
      <c r="AE26" s="79"/>
      <c r="AF26" s="70">
        <v>0.93</v>
      </c>
      <c r="AG26" s="66">
        <v>0.47</v>
      </c>
      <c r="AH26" s="66">
        <f t="shared" si="15"/>
        <v>1</v>
      </c>
      <c r="AI26" s="66">
        <v>1</v>
      </c>
      <c r="AJ26" s="79">
        <f t="shared" si="12"/>
        <v>0.85</v>
      </c>
      <c r="AK26" s="70">
        <v>1</v>
      </c>
      <c r="AL26" s="66">
        <v>0.86</v>
      </c>
      <c r="AM26" s="66">
        <v>1</v>
      </c>
      <c r="AN26" s="66">
        <v>1</v>
      </c>
      <c r="AO26" s="79">
        <v>0.96499999999999997</v>
      </c>
      <c r="AP26" s="70">
        <v>1</v>
      </c>
      <c r="AQ26" s="66">
        <v>1</v>
      </c>
      <c r="AR26" s="66">
        <v>1</v>
      </c>
      <c r="AS26" s="66">
        <f t="shared" si="13"/>
        <v>1</v>
      </c>
      <c r="AT26" s="79">
        <f t="shared" si="4"/>
        <v>1</v>
      </c>
      <c r="AU26" s="70">
        <v>0.93</v>
      </c>
      <c r="AV26" s="66">
        <v>1</v>
      </c>
      <c r="AW26" s="66">
        <v>1</v>
      </c>
      <c r="AX26" s="66">
        <v>1</v>
      </c>
      <c r="AY26" s="79">
        <f t="shared" si="5"/>
        <v>0.98250000000000004</v>
      </c>
      <c r="AZ26" s="92">
        <v>1</v>
      </c>
      <c r="BA26" s="92">
        <v>1</v>
      </c>
    </row>
    <row r="27" spans="1:53" ht="20.149999999999999" customHeight="1" x14ac:dyDescent="0.35">
      <c r="B27" s="23" t="s">
        <v>31</v>
      </c>
      <c r="C27" s="23"/>
      <c r="D27" s="23"/>
      <c r="E27" s="23"/>
      <c r="F27" s="23"/>
      <c r="G27" s="23"/>
      <c r="H27" s="23"/>
      <c r="L27" s="25">
        <v>1</v>
      </c>
      <c r="M27" s="25">
        <v>1</v>
      </c>
      <c r="N27" s="25">
        <v>1</v>
      </c>
      <c r="O27" s="25">
        <v>1</v>
      </c>
      <c r="P27" s="25">
        <f t="shared" si="1"/>
        <v>1</v>
      </c>
      <c r="Q27" s="25">
        <v>1</v>
      </c>
      <c r="R27" s="25">
        <f>11/14</f>
        <v>0.7857142857142857</v>
      </c>
      <c r="S27" s="25">
        <v>1</v>
      </c>
      <c r="T27" s="36">
        <v>1</v>
      </c>
      <c r="U27" s="79">
        <f t="shared" si="11"/>
        <v>0.9464285714285714</v>
      </c>
      <c r="V27" s="70">
        <f>11/11</f>
        <v>1</v>
      </c>
      <c r="W27" s="66">
        <v>1</v>
      </c>
      <c r="X27" s="66">
        <v>1</v>
      </c>
      <c r="Y27" s="66">
        <v>1</v>
      </c>
      <c r="Z27" s="79">
        <v>1</v>
      </c>
      <c r="AA27" s="70">
        <f t="shared" si="14"/>
        <v>1</v>
      </c>
      <c r="AB27" s="66">
        <f>15/15</f>
        <v>1</v>
      </c>
      <c r="AC27" s="66">
        <v>0.92</v>
      </c>
      <c r="AD27" s="66">
        <v>1</v>
      </c>
      <c r="AE27" s="79">
        <f t="shared" si="3"/>
        <v>0.98</v>
      </c>
      <c r="AF27" s="70">
        <v>0.93</v>
      </c>
      <c r="AG27" s="66">
        <v>1</v>
      </c>
      <c r="AH27" s="66">
        <f t="shared" si="15"/>
        <v>1</v>
      </c>
      <c r="AI27" s="66">
        <v>1</v>
      </c>
      <c r="AJ27" s="79">
        <f t="shared" si="12"/>
        <v>0.98250000000000004</v>
      </c>
      <c r="AK27" s="70">
        <v>1</v>
      </c>
      <c r="AL27" s="66">
        <v>1</v>
      </c>
      <c r="AM27" s="66">
        <v>1</v>
      </c>
      <c r="AN27" s="66">
        <v>1</v>
      </c>
      <c r="AO27" s="79">
        <v>1</v>
      </c>
      <c r="AP27" s="70">
        <v>1</v>
      </c>
      <c r="AQ27" s="66">
        <v>1</v>
      </c>
      <c r="AR27" s="66">
        <v>1</v>
      </c>
      <c r="AS27" s="66">
        <f t="shared" si="13"/>
        <v>1</v>
      </c>
      <c r="AT27" s="79">
        <f t="shared" si="4"/>
        <v>1</v>
      </c>
      <c r="AU27" s="70">
        <v>0.93</v>
      </c>
      <c r="AV27" s="66">
        <v>1</v>
      </c>
      <c r="AW27" s="66">
        <v>1</v>
      </c>
      <c r="AX27" s="66">
        <v>1</v>
      </c>
      <c r="AY27" s="79">
        <f t="shared" si="5"/>
        <v>0.98250000000000004</v>
      </c>
      <c r="AZ27" s="92">
        <v>1</v>
      </c>
      <c r="BA27" s="92">
        <v>1</v>
      </c>
    </row>
    <row r="28" spans="1:53" ht="20.149999999999999" customHeight="1" x14ac:dyDescent="0.35">
      <c r="B28" s="19" t="s">
        <v>41</v>
      </c>
      <c r="L28" s="25">
        <v>1</v>
      </c>
      <c r="M28" s="25">
        <v>1</v>
      </c>
      <c r="N28" s="25">
        <v>1</v>
      </c>
      <c r="O28" s="25">
        <v>1</v>
      </c>
      <c r="P28" s="25">
        <f t="shared" si="1"/>
        <v>1</v>
      </c>
      <c r="Q28" s="25">
        <v>1</v>
      </c>
      <c r="R28" s="25">
        <v>1</v>
      </c>
      <c r="S28" s="25">
        <v>1</v>
      </c>
      <c r="T28" s="36">
        <v>1</v>
      </c>
      <c r="U28" s="79">
        <f t="shared" si="11"/>
        <v>1</v>
      </c>
      <c r="V28" s="70">
        <f>11/11</f>
        <v>1</v>
      </c>
      <c r="W28" s="66">
        <v>1</v>
      </c>
      <c r="X28" s="66">
        <v>1</v>
      </c>
      <c r="Y28" s="66">
        <v>1</v>
      </c>
      <c r="Z28" s="79">
        <v>1</v>
      </c>
      <c r="AA28" s="70">
        <f t="shared" si="14"/>
        <v>1</v>
      </c>
      <c r="AB28" s="66">
        <f>15/15</f>
        <v>1</v>
      </c>
      <c r="AC28" s="66">
        <v>0.92</v>
      </c>
      <c r="AD28" s="66">
        <v>1</v>
      </c>
      <c r="AE28" s="79">
        <f t="shared" si="3"/>
        <v>0.98</v>
      </c>
      <c r="AF28" s="70">
        <v>0.93</v>
      </c>
      <c r="AG28" s="66">
        <v>1</v>
      </c>
      <c r="AH28" s="66">
        <f t="shared" si="15"/>
        <v>1</v>
      </c>
      <c r="AI28" s="66">
        <v>1</v>
      </c>
      <c r="AJ28" s="79">
        <f t="shared" si="12"/>
        <v>0.98250000000000004</v>
      </c>
      <c r="AK28" s="70">
        <v>1</v>
      </c>
      <c r="AL28" s="66">
        <v>1</v>
      </c>
      <c r="AM28" s="66">
        <v>1</v>
      </c>
      <c r="AN28" s="66">
        <v>1</v>
      </c>
      <c r="AO28" s="79">
        <v>1</v>
      </c>
      <c r="AP28" s="70">
        <v>1</v>
      </c>
      <c r="AQ28" s="66">
        <v>1</v>
      </c>
      <c r="AR28" s="66">
        <v>1</v>
      </c>
      <c r="AS28" s="66">
        <f t="shared" si="13"/>
        <v>1</v>
      </c>
      <c r="AT28" s="79">
        <f t="shared" si="4"/>
        <v>1</v>
      </c>
      <c r="AU28" s="70">
        <v>1</v>
      </c>
      <c r="AV28" s="66">
        <v>1</v>
      </c>
      <c r="AW28" s="66">
        <v>1</v>
      </c>
      <c r="AX28" s="66">
        <v>1</v>
      </c>
      <c r="AY28" s="79">
        <f>AVERAGE(AU28:AX28)</f>
        <v>1</v>
      </c>
      <c r="AZ28" s="92">
        <v>1</v>
      </c>
      <c r="BA28" s="92">
        <v>1</v>
      </c>
    </row>
    <row r="29" spans="1:53" ht="20.149999999999999" customHeight="1" x14ac:dyDescent="0.35">
      <c r="B29" s="20" t="s">
        <v>32</v>
      </c>
      <c r="L29" s="25"/>
      <c r="M29" s="11"/>
      <c r="N29" s="11"/>
      <c r="O29" s="11"/>
      <c r="P29" s="25" t="s">
        <v>4</v>
      </c>
      <c r="Q29" s="25"/>
      <c r="R29" s="25"/>
      <c r="S29" s="25"/>
      <c r="T29" s="36"/>
      <c r="U29" s="56"/>
      <c r="V29" s="48"/>
      <c r="W29" s="48"/>
      <c r="X29" s="48"/>
      <c r="Y29" s="48"/>
      <c r="Z29" s="56"/>
      <c r="AA29" s="48"/>
      <c r="AB29" s="48"/>
      <c r="AC29" s="48"/>
      <c r="AD29" s="48"/>
      <c r="AE29" s="56"/>
      <c r="AF29" s="48"/>
      <c r="AG29" s="48"/>
      <c r="AH29" s="48"/>
      <c r="AI29" s="48"/>
      <c r="AJ29" s="56"/>
      <c r="AK29" s="48"/>
      <c r="AL29" s="48"/>
      <c r="AM29" s="48"/>
      <c r="AN29" s="48"/>
      <c r="AO29" s="56"/>
      <c r="AP29" s="48"/>
      <c r="AQ29" s="48"/>
      <c r="AR29" s="48"/>
      <c r="AS29" s="48"/>
      <c r="AT29" s="56"/>
      <c r="AU29" s="48"/>
      <c r="AV29" s="48" t="s">
        <v>4</v>
      </c>
      <c r="AW29" s="48"/>
      <c r="AX29" s="48"/>
      <c r="AY29" s="56"/>
      <c r="AZ29" s="48"/>
      <c r="BA29" s="48"/>
    </row>
    <row r="30" spans="1:53" ht="20.149999999999999" customHeight="1" x14ac:dyDescent="0.35">
      <c r="B30" s="19" t="s">
        <v>39</v>
      </c>
      <c r="L30" s="25">
        <v>0.8</v>
      </c>
      <c r="M30" s="25">
        <v>0.93</v>
      </c>
      <c r="N30" s="25">
        <v>0.8</v>
      </c>
      <c r="O30" s="25">
        <v>1</v>
      </c>
      <c r="P30" s="25">
        <f t="shared" si="1"/>
        <v>0.88250000000000006</v>
      </c>
      <c r="Q30" s="25">
        <v>1</v>
      </c>
      <c r="R30" s="25">
        <v>1</v>
      </c>
      <c r="S30" s="25">
        <v>1</v>
      </c>
      <c r="T30" s="36">
        <v>1</v>
      </c>
      <c r="U30" s="79">
        <f t="shared" ref="U30:U41" si="16">AVERAGE(Q30:T30)</f>
        <v>1</v>
      </c>
      <c r="V30" s="70">
        <f>15/15</f>
        <v>1</v>
      </c>
      <c r="W30" s="66">
        <v>1</v>
      </c>
      <c r="X30" s="66">
        <v>1</v>
      </c>
      <c r="Y30" s="66">
        <f>13/15</f>
        <v>0.8666666666666667</v>
      </c>
      <c r="Z30" s="79">
        <v>0.96666666666666667</v>
      </c>
      <c r="AA30" s="70">
        <f>11/15</f>
        <v>0.73333333333333328</v>
      </c>
      <c r="AB30" s="66">
        <f>14/15</f>
        <v>0.93333333333333335</v>
      </c>
      <c r="AC30" s="66">
        <v>0.66</v>
      </c>
      <c r="AD30" s="66">
        <v>1</v>
      </c>
      <c r="AE30" s="79">
        <f t="shared" si="3"/>
        <v>0.83166666666666667</v>
      </c>
      <c r="AF30" s="70">
        <v>1</v>
      </c>
      <c r="AG30" s="66">
        <v>1</v>
      </c>
      <c r="AH30" s="66">
        <f>15/15</f>
        <v>1</v>
      </c>
      <c r="AI30" s="66">
        <v>0.93</v>
      </c>
      <c r="AJ30" s="79">
        <f t="shared" si="12"/>
        <v>0.98250000000000004</v>
      </c>
      <c r="AK30" s="70">
        <v>1</v>
      </c>
      <c r="AL30" s="66">
        <v>0.73</v>
      </c>
      <c r="AM30" s="66">
        <v>1</v>
      </c>
      <c r="AN30" s="66">
        <v>1</v>
      </c>
      <c r="AO30" s="79">
        <v>0.9325</v>
      </c>
      <c r="AP30" s="70">
        <v>0.93</v>
      </c>
      <c r="AQ30" s="66">
        <v>1</v>
      </c>
      <c r="AR30" s="66">
        <v>0.93</v>
      </c>
      <c r="AS30" s="66">
        <f>14/15</f>
        <v>0.93333333333333335</v>
      </c>
      <c r="AT30" s="79">
        <f t="shared" si="4"/>
        <v>0.94833333333333347</v>
      </c>
      <c r="AU30" s="70">
        <v>0.86</v>
      </c>
      <c r="AV30" s="66">
        <v>0.93</v>
      </c>
      <c r="AW30" s="66">
        <v>0.93</v>
      </c>
      <c r="AX30" s="66">
        <v>0.93</v>
      </c>
      <c r="AY30" s="79">
        <f t="shared" si="5"/>
        <v>0.91250000000000009</v>
      </c>
      <c r="AZ30" s="93">
        <v>1</v>
      </c>
      <c r="BA30" s="93">
        <v>0.93</v>
      </c>
    </row>
    <row r="31" spans="1:53" ht="20.149999999999999" customHeight="1" x14ac:dyDescent="0.35">
      <c r="B31" s="19" t="s">
        <v>33</v>
      </c>
      <c r="L31" s="25">
        <v>0.46</v>
      </c>
      <c r="M31" s="25">
        <v>0.33</v>
      </c>
      <c r="N31" s="25">
        <v>0.27</v>
      </c>
      <c r="O31" s="25">
        <v>0.47</v>
      </c>
      <c r="P31" s="25">
        <f t="shared" si="1"/>
        <v>0.38250000000000001</v>
      </c>
      <c r="Q31" s="25">
        <v>0.33</v>
      </c>
      <c r="R31" s="25">
        <f>11/15</f>
        <v>0.73333333333333328</v>
      </c>
      <c r="S31" s="25">
        <v>0.4</v>
      </c>
      <c r="T31" s="36">
        <v>0.2</v>
      </c>
      <c r="U31" s="79">
        <f t="shared" si="16"/>
        <v>0.41583333333333333</v>
      </c>
      <c r="V31" s="70">
        <f>3/15</f>
        <v>0.2</v>
      </c>
      <c r="W31" s="66">
        <v>0.2</v>
      </c>
      <c r="X31" s="66">
        <f>5/15</f>
        <v>0.33333333333333331</v>
      </c>
      <c r="Y31" s="66">
        <f>1/15</f>
        <v>6.6666666666666666E-2</v>
      </c>
      <c r="Z31" s="79">
        <v>0.2</v>
      </c>
      <c r="AA31" s="70">
        <f>1/5</f>
        <v>0.2</v>
      </c>
      <c r="AB31" s="66">
        <f>6/15</f>
        <v>0.4</v>
      </c>
      <c r="AC31" s="66">
        <v>0.4</v>
      </c>
      <c r="AD31" s="66">
        <f>7/15</f>
        <v>0.46666666666666667</v>
      </c>
      <c r="AE31" s="79">
        <f t="shared" si="3"/>
        <v>0.3666666666666667</v>
      </c>
      <c r="AF31" s="70">
        <v>0.73</v>
      </c>
      <c r="AG31" s="66">
        <v>0.93</v>
      </c>
      <c r="AH31" s="66">
        <f>13/15</f>
        <v>0.8666666666666667</v>
      </c>
      <c r="AI31" s="66">
        <v>0.47</v>
      </c>
      <c r="AJ31" s="79">
        <f t="shared" si="12"/>
        <v>0.74916666666666676</v>
      </c>
      <c r="AK31" s="70">
        <v>0.87</v>
      </c>
      <c r="AL31" s="66">
        <v>0.73</v>
      </c>
      <c r="AM31" s="66">
        <v>0.93</v>
      </c>
      <c r="AN31" s="66">
        <v>0.71</v>
      </c>
      <c r="AO31" s="79">
        <v>0.81</v>
      </c>
      <c r="AP31" s="70">
        <v>0.9</v>
      </c>
      <c r="AQ31" s="66">
        <v>1</v>
      </c>
      <c r="AR31" s="66">
        <v>1</v>
      </c>
      <c r="AS31" s="66">
        <f>12/14</f>
        <v>0.8571428571428571</v>
      </c>
      <c r="AT31" s="79">
        <f t="shared" si="4"/>
        <v>0.93928571428571428</v>
      </c>
      <c r="AU31" s="70">
        <v>0.92</v>
      </c>
      <c r="AV31" s="66">
        <v>0.93</v>
      </c>
      <c r="AW31" s="66">
        <v>0.93</v>
      </c>
      <c r="AX31" s="66">
        <v>0.93</v>
      </c>
      <c r="AY31" s="79">
        <f t="shared" si="5"/>
        <v>0.9275000000000001</v>
      </c>
      <c r="AZ31" s="93">
        <v>0.93</v>
      </c>
      <c r="BA31" s="93">
        <v>0.93</v>
      </c>
    </row>
    <row r="32" spans="1:53" ht="20.149999999999999" customHeight="1" x14ac:dyDescent="0.35">
      <c r="B32" s="19" t="s">
        <v>34</v>
      </c>
      <c r="L32" s="25">
        <v>0.06</v>
      </c>
      <c r="M32" s="25">
        <v>0.2</v>
      </c>
      <c r="N32" s="25">
        <v>0</v>
      </c>
      <c r="O32" s="25">
        <v>0</v>
      </c>
      <c r="P32" s="25">
        <f t="shared" si="1"/>
        <v>6.5000000000000002E-2</v>
      </c>
      <c r="Q32" s="25">
        <v>0.2</v>
      </c>
      <c r="R32" s="25">
        <f>3/15</f>
        <v>0.2</v>
      </c>
      <c r="S32" s="25">
        <v>0.13</v>
      </c>
      <c r="T32" s="36">
        <v>7.0000000000000007E-2</v>
      </c>
      <c r="U32" s="79">
        <f t="shared" si="16"/>
        <v>0.15000000000000002</v>
      </c>
      <c r="V32" s="70">
        <f>2/15</f>
        <v>0.13333333333333333</v>
      </c>
      <c r="W32" s="66">
        <v>0</v>
      </c>
      <c r="X32" s="66">
        <v>0</v>
      </c>
      <c r="Y32" s="66">
        <f>2/15</f>
        <v>0.13333333333333333</v>
      </c>
      <c r="Z32" s="79">
        <v>6.6666666666666666E-2</v>
      </c>
      <c r="AA32" s="70">
        <f>4/5</f>
        <v>0.8</v>
      </c>
      <c r="AB32" s="66">
        <f>2/15</f>
        <v>0.13333333333333333</v>
      </c>
      <c r="AC32" s="66">
        <v>0</v>
      </c>
      <c r="AD32" s="66">
        <f>2/15</f>
        <v>0.13333333333333333</v>
      </c>
      <c r="AE32" s="79">
        <f t="shared" si="3"/>
        <v>0.26666666666666666</v>
      </c>
      <c r="AF32" s="70">
        <v>0.47</v>
      </c>
      <c r="AG32" s="66">
        <v>0.47</v>
      </c>
      <c r="AH32" s="66">
        <f>2/15</f>
        <v>0.13333333333333333</v>
      </c>
      <c r="AI32" s="66">
        <v>0</v>
      </c>
      <c r="AJ32" s="79">
        <f t="shared" si="12"/>
        <v>0.26833333333333331</v>
      </c>
      <c r="AK32" s="70">
        <v>0.13</v>
      </c>
      <c r="AL32" s="66">
        <v>0.2</v>
      </c>
      <c r="AM32" s="66">
        <v>0.8</v>
      </c>
      <c r="AN32" s="66">
        <v>0.61</v>
      </c>
      <c r="AO32" s="79">
        <v>0.43500000000000005</v>
      </c>
      <c r="AP32" s="70">
        <v>0.4</v>
      </c>
      <c r="AQ32" s="66">
        <v>0.53</v>
      </c>
      <c r="AR32" s="66">
        <v>0.5</v>
      </c>
      <c r="AS32" s="66">
        <f>12/15</f>
        <v>0.8</v>
      </c>
      <c r="AT32" s="79">
        <f t="shared" si="4"/>
        <v>0.55750000000000011</v>
      </c>
      <c r="AU32" s="70">
        <v>0.61</v>
      </c>
      <c r="AV32" s="66">
        <v>1</v>
      </c>
      <c r="AW32" s="66">
        <v>1</v>
      </c>
      <c r="AX32" s="66">
        <v>1</v>
      </c>
      <c r="AY32" s="79">
        <f t="shared" si="5"/>
        <v>0.90249999999999997</v>
      </c>
      <c r="AZ32" s="93">
        <v>0.73</v>
      </c>
      <c r="BA32" s="93">
        <v>0.93</v>
      </c>
    </row>
    <row r="33" spans="1:54" ht="20.149999999999999" customHeight="1" x14ac:dyDescent="0.35">
      <c r="B33" s="19" t="s">
        <v>35</v>
      </c>
      <c r="L33" s="25">
        <v>0.73</v>
      </c>
      <c r="M33" s="25">
        <v>0.92</v>
      </c>
      <c r="N33" s="25">
        <v>0.87</v>
      </c>
      <c r="O33" s="25">
        <v>0.92</v>
      </c>
      <c r="P33" s="25">
        <f t="shared" si="1"/>
        <v>0.86</v>
      </c>
      <c r="Q33" s="25">
        <v>0.79</v>
      </c>
      <c r="R33" s="25">
        <f>14/15</f>
        <v>0.93333333333333335</v>
      </c>
      <c r="S33" s="25">
        <v>1</v>
      </c>
      <c r="T33" s="36">
        <v>1</v>
      </c>
      <c r="U33" s="79">
        <f t="shared" si="16"/>
        <v>0.9308333333333334</v>
      </c>
      <c r="V33" s="70">
        <f>9/11</f>
        <v>0.81818181818181823</v>
      </c>
      <c r="W33" s="66">
        <v>0.8</v>
      </c>
      <c r="X33" s="66">
        <f>11/13</f>
        <v>0.84615384615384615</v>
      </c>
      <c r="Y33" s="66">
        <f>3/7</f>
        <v>0.42857142857142855</v>
      </c>
      <c r="Z33" s="79">
        <v>0.7232267732267732</v>
      </c>
      <c r="AA33" s="70">
        <f>3/3</f>
        <v>1</v>
      </c>
      <c r="AB33" s="66">
        <f>1/1</f>
        <v>1</v>
      </c>
      <c r="AC33" s="66">
        <v>0.5</v>
      </c>
      <c r="AD33" s="66">
        <v>0</v>
      </c>
      <c r="AE33" s="79">
        <f t="shared" si="3"/>
        <v>0.625</v>
      </c>
      <c r="AF33" s="70" t="s">
        <v>52</v>
      </c>
      <c r="AG33" s="66">
        <v>0.91</v>
      </c>
      <c r="AH33" s="66">
        <f>6/11</f>
        <v>0.54545454545454541</v>
      </c>
      <c r="AI33" s="66">
        <v>0.91</v>
      </c>
      <c r="AJ33" s="79">
        <f t="shared" si="12"/>
        <v>0.78848484848484857</v>
      </c>
      <c r="AK33" s="70">
        <v>0.8</v>
      </c>
      <c r="AL33" s="66">
        <v>0.83</v>
      </c>
      <c r="AM33" s="66">
        <v>0.86</v>
      </c>
      <c r="AN33" s="66">
        <v>0.67</v>
      </c>
      <c r="AO33" s="79">
        <v>0.78999999999999992</v>
      </c>
      <c r="AP33" s="70">
        <v>0.9</v>
      </c>
      <c r="AQ33" s="66">
        <v>0.93</v>
      </c>
      <c r="AR33" s="66">
        <v>0.8</v>
      </c>
      <c r="AS33" s="66">
        <f>14/15</f>
        <v>0.93333333333333335</v>
      </c>
      <c r="AT33" s="79">
        <f t="shared" si="4"/>
        <v>0.89083333333333337</v>
      </c>
      <c r="AU33" s="70">
        <v>0.93</v>
      </c>
      <c r="AV33" s="66">
        <v>0.93</v>
      </c>
      <c r="AW33" s="66">
        <v>1</v>
      </c>
      <c r="AX33" s="66">
        <v>0.8</v>
      </c>
      <c r="AY33" s="79">
        <f t="shared" si="5"/>
        <v>0.91500000000000004</v>
      </c>
      <c r="AZ33" s="93">
        <v>0.92</v>
      </c>
      <c r="BA33" s="93">
        <v>1</v>
      </c>
    </row>
    <row r="34" spans="1:54" ht="20.149999999999999" customHeight="1" thickBot="1" x14ac:dyDescent="0.4">
      <c r="B34" s="19" t="s">
        <v>42</v>
      </c>
      <c r="L34" s="25">
        <v>0.33</v>
      </c>
      <c r="M34" s="25">
        <v>0.125</v>
      </c>
      <c r="N34" s="25">
        <v>0.44</v>
      </c>
      <c r="O34" s="25">
        <v>0.14000000000000001</v>
      </c>
      <c r="P34" s="25">
        <f t="shared" si="1"/>
        <v>0.25875000000000004</v>
      </c>
      <c r="Q34" s="25">
        <v>0.25</v>
      </c>
      <c r="R34" s="25">
        <f>7/9</f>
        <v>0.77777777777777779</v>
      </c>
      <c r="S34" s="25">
        <v>0.2</v>
      </c>
      <c r="T34" s="36">
        <v>0.43</v>
      </c>
      <c r="U34" s="79">
        <f t="shared" si="16"/>
        <v>0.41444444444444439</v>
      </c>
      <c r="V34" s="70">
        <f>6/10</f>
        <v>0.6</v>
      </c>
      <c r="W34" s="66">
        <v>0.33</v>
      </c>
      <c r="X34" s="66">
        <f>2/9</f>
        <v>0.22222222222222221</v>
      </c>
      <c r="Y34" s="66">
        <f>1/8</f>
        <v>0.125</v>
      </c>
      <c r="Z34" s="79">
        <v>0.31930555555555551</v>
      </c>
      <c r="AA34" s="70">
        <f>2/9</f>
        <v>0.22222222222222221</v>
      </c>
      <c r="AB34" s="66">
        <f>2/7</f>
        <v>0.2857142857142857</v>
      </c>
      <c r="AC34" s="66">
        <v>0</v>
      </c>
      <c r="AD34" s="66">
        <f>1/7</f>
        <v>0.14285714285714285</v>
      </c>
      <c r="AE34" s="79">
        <f t="shared" si="3"/>
        <v>0.16269841269841268</v>
      </c>
      <c r="AF34" s="70">
        <v>0.43</v>
      </c>
      <c r="AG34" s="66">
        <v>0.75</v>
      </c>
      <c r="AH34" s="66">
        <f>8/10</f>
        <v>0.8</v>
      </c>
      <c r="AI34" s="66">
        <v>1</v>
      </c>
      <c r="AJ34" s="79">
        <f t="shared" si="12"/>
        <v>0.745</v>
      </c>
      <c r="AK34" s="70">
        <v>1</v>
      </c>
      <c r="AL34" s="66">
        <v>1</v>
      </c>
      <c r="AM34" s="66">
        <v>0.87</v>
      </c>
      <c r="AN34" s="66">
        <v>0.93</v>
      </c>
      <c r="AO34" s="79">
        <v>0.95000000000000007</v>
      </c>
      <c r="AP34" s="70">
        <v>0.93</v>
      </c>
      <c r="AQ34" s="66">
        <v>0.93</v>
      </c>
      <c r="AR34" s="66">
        <v>1</v>
      </c>
      <c r="AS34" s="66">
        <f>14/15</f>
        <v>0.93333333333333335</v>
      </c>
      <c r="AT34" s="79">
        <f t="shared" si="4"/>
        <v>0.94833333333333347</v>
      </c>
      <c r="AU34" s="70">
        <v>0.92</v>
      </c>
      <c r="AV34" s="66">
        <v>0.8</v>
      </c>
      <c r="AW34" s="66">
        <v>0.93</v>
      </c>
      <c r="AX34" s="66">
        <v>1</v>
      </c>
      <c r="AY34" s="79">
        <f t="shared" si="5"/>
        <v>0.91250000000000009</v>
      </c>
      <c r="AZ34" s="93">
        <v>0.93</v>
      </c>
      <c r="BA34" s="93">
        <v>0.93</v>
      </c>
    </row>
    <row r="35" spans="1:54" ht="86.5" customHeight="1" thickTop="1" thickBot="1" x14ac:dyDescent="0.4">
      <c r="B35" s="94" t="s">
        <v>56</v>
      </c>
      <c r="C35" s="95"/>
      <c r="D35" s="95"/>
      <c r="E35" s="95"/>
      <c r="F35" s="95"/>
      <c r="G35" s="96"/>
      <c r="L35" s="25">
        <v>0.5</v>
      </c>
      <c r="M35" s="25">
        <v>0.375</v>
      </c>
      <c r="N35" s="25">
        <v>0.18</v>
      </c>
      <c r="O35" s="25">
        <v>0.11</v>
      </c>
      <c r="P35" s="25">
        <f t="shared" si="1"/>
        <v>0.29125000000000001</v>
      </c>
      <c r="Q35" s="25">
        <v>0.5</v>
      </c>
      <c r="R35" s="25">
        <f>0/4</f>
        <v>0</v>
      </c>
      <c r="S35" s="25">
        <v>0.6</v>
      </c>
      <c r="T35" s="36">
        <v>0.33</v>
      </c>
      <c r="U35" s="79">
        <f t="shared" si="16"/>
        <v>0.35750000000000004</v>
      </c>
      <c r="V35" s="70">
        <f>4/9</f>
        <v>0.44444444444444442</v>
      </c>
      <c r="W35" s="66">
        <v>0.5</v>
      </c>
      <c r="X35" s="66">
        <f>2/6</f>
        <v>0.33333333333333331</v>
      </c>
      <c r="Y35" s="66">
        <f>5/10</f>
        <v>0.5</v>
      </c>
      <c r="Z35" s="79">
        <v>0.44444444444444442</v>
      </c>
      <c r="AA35" s="70">
        <f>2/9</f>
        <v>0.22222222222222221</v>
      </c>
      <c r="AB35" s="66">
        <f>5/5</f>
        <v>1</v>
      </c>
      <c r="AC35" s="66">
        <v>0.5</v>
      </c>
      <c r="AD35" s="66">
        <v>0</v>
      </c>
      <c r="AE35" s="79">
        <f t="shared" si="3"/>
        <v>0.43055555555555558</v>
      </c>
      <c r="AF35" s="70">
        <v>0.6</v>
      </c>
      <c r="AG35" s="66">
        <v>0</v>
      </c>
      <c r="AH35" s="66">
        <f>0/4</f>
        <v>0</v>
      </c>
      <c r="AI35" s="66">
        <v>0.5</v>
      </c>
      <c r="AJ35" s="79">
        <f t="shared" si="12"/>
        <v>0.27500000000000002</v>
      </c>
      <c r="AK35" s="70">
        <v>0.25</v>
      </c>
      <c r="AL35" s="66">
        <v>0.5</v>
      </c>
      <c r="AM35" s="66">
        <v>0.62</v>
      </c>
      <c r="AN35" s="66">
        <v>0.75</v>
      </c>
      <c r="AO35" s="79">
        <v>0.53</v>
      </c>
      <c r="AP35" s="70">
        <v>0.75</v>
      </c>
      <c r="AQ35" s="66">
        <v>0.56999999999999995</v>
      </c>
      <c r="AR35" s="66">
        <v>1</v>
      </c>
      <c r="AS35" s="66">
        <f>1/3</f>
        <v>0.33333333333333331</v>
      </c>
      <c r="AT35" s="79">
        <f t="shared" si="4"/>
        <v>0.66333333333333333</v>
      </c>
      <c r="AU35" s="70">
        <v>0</v>
      </c>
      <c r="AV35" s="66">
        <v>0.08</v>
      </c>
      <c r="AW35" s="66">
        <v>0.11</v>
      </c>
      <c r="AX35" s="66">
        <v>0</v>
      </c>
      <c r="AY35" s="79">
        <f t="shared" si="5"/>
        <v>4.7500000000000001E-2</v>
      </c>
      <c r="AZ35" s="93">
        <v>0.11</v>
      </c>
      <c r="BA35" s="93">
        <v>0.62</v>
      </c>
      <c r="BB35" s="63"/>
    </row>
    <row r="36" spans="1:54" ht="34.5" customHeight="1" thickTop="1" thickBot="1" x14ac:dyDescent="0.4">
      <c r="B36" s="44" t="s">
        <v>55</v>
      </c>
      <c r="C36" s="102" t="s">
        <v>95</v>
      </c>
      <c r="D36" s="103"/>
      <c r="E36" s="103"/>
      <c r="F36" s="103"/>
      <c r="G36" s="103"/>
      <c r="H36" s="104"/>
      <c r="L36" s="43"/>
      <c r="M36" s="43"/>
      <c r="N36" s="43"/>
      <c r="O36" s="43"/>
      <c r="P36" s="43"/>
      <c r="Q36" s="43"/>
      <c r="R36" s="43"/>
      <c r="S36" s="43"/>
      <c r="T36" s="42"/>
      <c r="U36" s="62"/>
      <c r="V36" s="49"/>
      <c r="W36" s="49"/>
      <c r="X36" s="49"/>
      <c r="Y36" s="49"/>
      <c r="Z36" s="62"/>
      <c r="AA36" s="49"/>
      <c r="AB36" s="49"/>
      <c r="AC36" s="49"/>
      <c r="AD36" s="49"/>
      <c r="AE36" s="62"/>
      <c r="AF36" s="49"/>
      <c r="AG36" s="49"/>
      <c r="AH36" s="49"/>
      <c r="AI36" s="49"/>
      <c r="AJ36" s="62"/>
      <c r="AK36" s="49"/>
      <c r="AL36" s="49"/>
      <c r="AM36" s="49"/>
      <c r="AN36" s="49"/>
      <c r="AO36" s="62"/>
      <c r="AP36" s="49"/>
      <c r="AQ36" s="49"/>
      <c r="AR36" s="49"/>
      <c r="AS36" s="49"/>
      <c r="AT36" s="62"/>
      <c r="AU36" s="49"/>
      <c r="AV36" s="49"/>
      <c r="AW36" s="49"/>
      <c r="AX36" s="49"/>
      <c r="AY36" s="62"/>
      <c r="AZ36" s="93">
        <v>0.38</v>
      </c>
      <c r="BA36" s="93">
        <v>0.4</v>
      </c>
    </row>
    <row r="37" spans="1:54" ht="38.25" customHeight="1" thickTop="1" thickBot="1" x14ac:dyDescent="0.4">
      <c r="B37" s="44" t="s">
        <v>55</v>
      </c>
      <c r="C37" s="102" t="s">
        <v>96</v>
      </c>
      <c r="D37" s="103"/>
      <c r="E37" s="103"/>
      <c r="F37" s="103"/>
      <c r="G37" s="103"/>
      <c r="H37" s="104"/>
      <c r="L37" s="43"/>
      <c r="M37" s="43"/>
      <c r="N37" s="43"/>
      <c r="O37" s="43"/>
      <c r="P37" s="43"/>
      <c r="Q37" s="43"/>
      <c r="R37" s="43"/>
      <c r="S37" s="43"/>
      <c r="T37" s="42"/>
      <c r="U37" s="62"/>
      <c r="V37" s="49"/>
      <c r="W37" s="49"/>
      <c r="X37" s="49"/>
      <c r="Y37" s="49"/>
      <c r="Z37" s="62"/>
      <c r="AA37" s="49"/>
      <c r="AB37" s="49"/>
      <c r="AC37" s="49"/>
      <c r="AD37" s="49"/>
      <c r="AE37" s="62"/>
      <c r="AF37" s="49"/>
      <c r="AG37" s="49"/>
      <c r="AH37" s="49"/>
      <c r="AI37" s="49"/>
      <c r="AJ37" s="62"/>
      <c r="AK37" s="49"/>
      <c r="AL37" s="49"/>
      <c r="AM37" s="49"/>
      <c r="AN37" s="49"/>
      <c r="AO37" s="62"/>
      <c r="AP37" s="49"/>
      <c r="AQ37" s="49"/>
      <c r="AR37" s="49"/>
      <c r="AS37" s="49"/>
      <c r="AT37" s="62"/>
      <c r="AU37" s="49"/>
      <c r="AV37" s="49"/>
      <c r="AW37" s="49"/>
      <c r="AX37" s="49"/>
      <c r="AY37" s="62"/>
      <c r="AZ37" s="93">
        <v>0.25</v>
      </c>
      <c r="BA37" s="93">
        <v>0.2</v>
      </c>
    </row>
    <row r="38" spans="1:54" ht="20.149999999999999" customHeight="1" thickTop="1" x14ac:dyDescent="0.35">
      <c r="B38" s="19" t="s">
        <v>43</v>
      </c>
      <c r="L38" s="25">
        <v>1</v>
      </c>
      <c r="M38" s="25">
        <v>1</v>
      </c>
      <c r="N38" s="25">
        <v>1</v>
      </c>
      <c r="O38" s="25">
        <v>1</v>
      </c>
      <c r="P38" s="25">
        <f t="shared" si="1"/>
        <v>1</v>
      </c>
      <c r="Q38" s="25">
        <v>1</v>
      </c>
      <c r="R38" s="25">
        <v>1</v>
      </c>
      <c r="S38" s="25">
        <v>1</v>
      </c>
      <c r="T38" s="36">
        <v>1</v>
      </c>
      <c r="U38" s="79">
        <f t="shared" si="16"/>
        <v>1</v>
      </c>
      <c r="V38" s="70">
        <f>15/15</f>
        <v>1</v>
      </c>
      <c r="W38" s="66">
        <v>1</v>
      </c>
      <c r="X38" s="66">
        <v>1</v>
      </c>
      <c r="Y38" s="66">
        <v>1</v>
      </c>
      <c r="Z38" s="79">
        <v>1</v>
      </c>
      <c r="AA38" s="70">
        <f>15/15</f>
        <v>1</v>
      </c>
      <c r="AB38" s="66">
        <f>15/15</f>
        <v>1</v>
      </c>
      <c r="AC38" s="66">
        <v>1</v>
      </c>
      <c r="AD38" s="66">
        <v>1</v>
      </c>
      <c r="AE38" s="79">
        <f t="shared" si="3"/>
        <v>1</v>
      </c>
      <c r="AF38" s="70">
        <v>1</v>
      </c>
      <c r="AG38" s="66">
        <v>1</v>
      </c>
      <c r="AH38" s="66">
        <f>15/15</f>
        <v>1</v>
      </c>
      <c r="AI38" s="66">
        <v>1</v>
      </c>
      <c r="AJ38" s="79">
        <f t="shared" si="12"/>
        <v>1</v>
      </c>
      <c r="AK38" s="70">
        <v>1</v>
      </c>
      <c r="AL38" s="66">
        <v>1</v>
      </c>
      <c r="AM38" s="66">
        <v>1</v>
      </c>
      <c r="AN38" s="66">
        <v>1</v>
      </c>
      <c r="AO38" s="79">
        <v>1</v>
      </c>
      <c r="AP38" s="70">
        <v>1</v>
      </c>
      <c r="AQ38" s="66">
        <v>1</v>
      </c>
      <c r="AR38" s="66">
        <v>1</v>
      </c>
      <c r="AS38" s="66">
        <f t="shared" ref="AS38:AS39" si="17">15/15</f>
        <v>1</v>
      </c>
      <c r="AT38" s="79">
        <f t="shared" si="4"/>
        <v>1</v>
      </c>
      <c r="AU38" s="70">
        <v>1</v>
      </c>
      <c r="AV38" s="66">
        <v>1</v>
      </c>
      <c r="AW38" s="66">
        <v>1</v>
      </c>
      <c r="AX38" s="66">
        <v>1</v>
      </c>
      <c r="AY38" s="79">
        <f t="shared" si="5"/>
        <v>1</v>
      </c>
      <c r="AZ38" s="93">
        <v>1</v>
      </c>
      <c r="BA38" s="93">
        <v>1</v>
      </c>
    </row>
    <row r="39" spans="1:54" ht="20.149999999999999" customHeight="1" x14ac:dyDescent="0.35">
      <c r="B39" s="19" t="s">
        <v>44</v>
      </c>
      <c r="L39" s="25">
        <v>1</v>
      </c>
      <c r="M39" s="25">
        <v>1</v>
      </c>
      <c r="N39" s="25">
        <v>1</v>
      </c>
      <c r="O39" s="25">
        <v>0.93</v>
      </c>
      <c r="P39" s="25">
        <f t="shared" si="1"/>
        <v>0.98250000000000004</v>
      </c>
      <c r="Q39" s="25">
        <v>1</v>
      </c>
      <c r="R39" s="25">
        <f>14/15</f>
        <v>0.93333333333333335</v>
      </c>
      <c r="S39" s="25">
        <v>0.86</v>
      </c>
      <c r="T39" s="36">
        <v>1</v>
      </c>
      <c r="U39" s="79">
        <f t="shared" si="16"/>
        <v>0.94833333333333336</v>
      </c>
      <c r="V39" s="70">
        <f>14/15</f>
        <v>0.93333333333333335</v>
      </c>
      <c r="W39" s="66">
        <v>1</v>
      </c>
      <c r="X39" s="66">
        <f>14/15</f>
        <v>0.93333333333333335</v>
      </c>
      <c r="Y39" s="66">
        <v>1</v>
      </c>
      <c r="Z39" s="79">
        <v>0.96666666666666667</v>
      </c>
      <c r="AA39" s="70">
        <f>15/15</f>
        <v>1</v>
      </c>
      <c r="AB39" s="66">
        <f>15/15</f>
        <v>1</v>
      </c>
      <c r="AC39" s="66">
        <v>1</v>
      </c>
      <c r="AD39" s="66">
        <f>14/15</f>
        <v>0.93333333333333335</v>
      </c>
      <c r="AE39" s="79">
        <f t="shared" si="3"/>
        <v>0.98333333333333339</v>
      </c>
      <c r="AF39" s="70">
        <v>0.87</v>
      </c>
      <c r="AG39" s="66">
        <v>1</v>
      </c>
      <c r="AH39" s="66">
        <f>14/15</f>
        <v>0.93333333333333335</v>
      </c>
      <c r="AI39" s="66">
        <v>1</v>
      </c>
      <c r="AJ39" s="79">
        <f t="shared" si="12"/>
        <v>0.95083333333333342</v>
      </c>
      <c r="AK39" s="70">
        <v>1</v>
      </c>
      <c r="AL39" s="66">
        <v>1</v>
      </c>
      <c r="AM39" s="66">
        <v>1</v>
      </c>
      <c r="AN39" s="66">
        <v>1</v>
      </c>
      <c r="AO39" s="79">
        <v>1</v>
      </c>
      <c r="AP39" s="70">
        <v>1</v>
      </c>
      <c r="AQ39" s="66">
        <v>1</v>
      </c>
      <c r="AR39" s="66">
        <v>1</v>
      </c>
      <c r="AS39" s="66">
        <f t="shared" si="17"/>
        <v>1</v>
      </c>
      <c r="AT39" s="79">
        <f t="shared" si="4"/>
        <v>1</v>
      </c>
      <c r="AU39" s="70">
        <v>1</v>
      </c>
      <c r="AV39" s="66">
        <v>1</v>
      </c>
      <c r="AW39" s="66">
        <v>1</v>
      </c>
      <c r="AX39" s="66">
        <v>1</v>
      </c>
      <c r="AY39" s="79">
        <f t="shared" si="5"/>
        <v>1</v>
      </c>
      <c r="AZ39" s="93">
        <v>1</v>
      </c>
      <c r="BA39" s="93">
        <v>1</v>
      </c>
    </row>
    <row r="40" spans="1:54" ht="20.149999999999999" customHeight="1" x14ac:dyDescent="0.35">
      <c r="B40" s="20" t="s">
        <v>36</v>
      </c>
      <c r="L40" s="25"/>
      <c r="M40" s="11"/>
      <c r="N40" s="11"/>
      <c r="O40" s="11"/>
      <c r="P40" s="25" t="s">
        <v>4</v>
      </c>
      <c r="Q40" s="25" t="s">
        <v>4</v>
      </c>
      <c r="R40" s="25"/>
      <c r="S40" s="25"/>
      <c r="T40" s="36"/>
      <c r="U40" s="56" t="s">
        <v>4</v>
      </c>
      <c r="V40" s="48"/>
      <c r="W40" s="48"/>
      <c r="X40" s="48"/>
      <c r="Y40" s="48"/>
      <c r="Z40" s="56"/>
      <c r="AA40" s="48"/>
      <c r="AB40" s="48"/>
      <c r="AC40" s="48"/>
      <c r="AD40" s="48"/>
      <c r="AE40" s="56"/>
      <c r="AF40" s="48"/>
      <c r="AG40" s="48"/>
      <c r="AH40" s="48"/>
      <c r="AI40" s="48"/>
      <c r="AJ40" s="56"/>
      <c r="AK40" s="48"/>
      <c r="AL40" s="48"/>
      <c r="AM40" s="48"/>
      <c r="AN40" s="48"/>
      <c r="AO40" s="56"/>
      <c r="AP40" s="48"/>
      <c r="AQ40" s="48"/>
      <c r="AR40" s="48"/>
      <c r="AS40" s="48"/>
      <c r="AT40" s="56"/>
      <c r="AU40" s="48"/>
      <c r="AV40" s="48"/>
      <c r="AW40" s="48"/>
      <c r="AX40" s="48"/>
      <c r="AY40" s="56"/>
      <c r="AZ40" s="48"/>
      <c r="BA40" s="48"/>
    </row>
    <row r="41" spans="1:54" ht="20.149999999999999" customHeight="1" x14ac:dyDescent="0.35">
      <c r="B41" s="19" t="s">
        <v>49</v>
      </c>
      <c r="L41" s="25">
        <v>1</v>
      </c>
      <c r="M41" s="26">
        <v>0.86</v>
      </c>
      <c r="N41" s="26">
        <v>1</v>
      </c>
      <c r="O41" s="26">
        <v>0.8</v>
      </c>
      <c r="P41" s="25">
        <f t="shared" si="1"/>
        <v>0.91500000000000004</v>
      </c>
      <c r="Q41" s="25">
        <v>0.6</v>
      </c>
      <c r="R41" s="25">
        <f>10/15</f>
        <v>0.66666666666666663</v>
      </c>
      <c r="S41" s="25">
        <v>0.8</v>
      </c>
      <c r="T41" s="36">
        <v>0.53</v>
      </c>
      <c r="U41" s="79">
        <f t="shared" si="16"/>
        <v>0.64916666666666667</v>
      </c>
      <c r="V41" s="70">
        <f>8/15</f>
        <v>0.53333333333333333</v>
      </c>
      <c r="W41" s="66">
        <v>0.8</v>
      </c>
      <c r="X41" s="66">
        <f>12/15</f>
        <v>0.8</v>
      </c>
      <c r="Y41" s="66">
        <f>11/15</f>
        <v>0.73333333333333328</v>
      </c>
      <c r="Z41" s="79">
        <v>0.71666666666666679</v>
      </c>
      <c r="AA41" s="70">
        <f>15/15</f>
        <v>1</v>
      </c>
      <c r="AB41" s="66">
        <f>15/15</f>
        <v>1</v>
      </c>
      <c r="AC41" s="66">
        <v>0.93</v>
      </c>
      <c r="AD41" s="86">
        <f>14/15</f>
        <v>0.93333333333333335</v>
      </c>
      <c r="AE41" s="87">
        <f t="shared" si="3"/>
        <v>0.96583333333333332</v>
      </c>
      <c r="AF41" s="70">
        <v>0.73</v>
      </c>
      <c r="AG41" s="66">
        <v>0.67</v>
      </c>
      <c r="AH41" s="66">
        <f>10/15</f>
        <v>0.66666666666666663</v>
      </c>
      <c r="AI41" s="66">
        <v>0.87</v>
      </c>
      <c r="AJ41" s="79">
        <f t="shared" si="12"/>
        <v>0.73416666666666663</v>
      </c>
      <c r="AK41" s="70">
        <v>0.93</v>
      </c>
      <c r="AL41" s="66">
        <v>1</v>
      </c>
      <c r="AM41" s="66">
        <v>0.93</v>
      </c>
      <c r="AN41" s="66">
        <v>0.93</v>
      </c>
      <c r="AO41" s="79">
        <v>0.94750000000000012</v>
      </c>
      <c r="AP41" s="70">
        <v>0.93</v>
      </c>
      <c r="AQ41" s="66">
        <v>1</v>
      </c>
      <c r="AR41" s="66">
        <v>1</v>
      </c>
      <c r="AS41" s="66">
        <f t="shared" ref="AS41" si="18">15/15</f>
        <v>1</v>
      </c>
      <c r="AT41" s="79">
        <f t="shared" si="4"/>
        <v>0.98250000000000004</v>
      </c>
      <c r="AU41" s="70">
        <v>1</v>
      </c>
      <c r="AV41" s="66">
        <v>0.93</v>
      </c>
      <c r="AW41" s="66">
        <v>1</v>
      </c>
      <c r="AX41" s="66">
        <v>1</v>
      </c>
      <c r="AY41" s="79">
        <f t="shared" si="5"/>
        <v>0.98250000000000004</v>
      </c>
      <c r="AZ41" s="92">
        <v>1</v>
      </c>
      <c r="BA41" s="92">
        <v>1</v>
      </c>
    </row>
    <row r="42" spans="1:54" ht="20.149999999999999" customHeight="1" thickBot="1" x14ac:dyDescent="0.4">
      <c r="B42" s="7"/>
      <c r="L42" s="34"/>
      <c r="M42" s="27"/>
      <c r="N42" s="27"/>
      <c r="O42" s="27"/>
      <c r="P42" s="34" t="s">
        <v>4</v>
      </c>
      <c r="Q42" s="34"/>
      <c r="R42" s="34"/>
      <c r="S42" s="34"/>
      <c r="T42" s="41"/>
      <c r="U42" s="57"/>
      <c r="V42" s="50"/>
      <c r="W42" s="50"/>
      <c r="X42" s="50"/>
      <c r="Y42" s="50"/>
      <c r="Z42" s="57"/>
      <c r="AA42" s="50"/>
      <c r="AB42" s="50"/>
      <c r="AC42" s="50"/>
      <c r="AD42" s="51"/>
      <c r="AE42" s="60"/>
      <c r="AF42" s="50"/>
      <c r="AG42" s="50"/>
      <c r="AH42" s="50"/>
      <c r="AI42" s="50"/>
      <c r="AJ42" s="57"/>
      <c r="AK42" s="50"/>
      <c r="AL42" s="50"/>
      <c r="AM42" s="50"/>
      <c r="AN42" s="50"/>
      <c r="AO42" s="57"/>
      <c r="AP42" s="50"/>
      <c r="AQ42" s="50"/>
      <c r="AR42" s="50"/>
      <c r="AS42" s="50"/>
      <c r="AT42" s="57" t="s">
        <v>4</v>
      </c>
      <c r="AU42" s="50" t="s">
        <v>4</v>
      </c>
      <c r="AV42" s="50" t="s">
        <v>4</v>
      </c>
      <c r="AW42" s="50"/>
      <c r="AX42" s="50"/>
      <c r="AY42" s="57"/>
      <c r="AZ42" s="90"/>
      <c r="BA42" s="90"/>
    </row>
    <row r="43" spans="1:54" ht="20.149999999999999" customHeight="1" thickBot="1" x14ac:dyDescent="0.4">
      <c r="B43" s="105" t="s">
        <v>37</v>
      </c>
      <c r="C43" s="105"/>
      <c r="D43" s="105"/>
      <c r="E43" s="105"/>
      <c r="F43" s="105"/>
      <c r="G43" s="105"/>
      <c r="H43" s="105"/>
      <c r="L43" s="35">
        <v>0.88</v>
      </c>
      <c r="M43" s="28">
        <v>0.82</v>
      </c>
      <c r="N43" s="28">
        <f>AVERAGE(N4:N41)</f>
        <v>0.79354838709677422</v>
      </c>
      <c r="O43" s="37">
        <v>0.81</v>
      </c>
      <c r="P43" s="28">
        <f>AVERAGE(L43:O43)</f>
        <v>0.82588709677419359</v>
      </c>
      <c r="Q43" s="28">
        <f>AVERAGE(Q1:Q41)</f>
        <v>0.75548387096774183</v>
      </c>
      <c r="R43" s="28">
        <f t="shared" ref="R43:AX43" si="19">AVERAGE(R1:R41)</f>
        <v>0.76731619634845449</v>
      </c>
      <c r="S43" s="28">
        <f t="shared" si="19"/>
        <v>0.75806451612903214</v>
      </c>
      <c r="T43" s="37">
        <f t="shared" si="19"/>
        <v>0.82214285714285718</v>
      </c>
      <c r="U43" s="78">
        <f t="shared" si="19"/>
        <v>0.75586130715162969</v>
      </c>
      <c r="V43" s="73">
        <f t="shared" si="19"/>
        <v>0.83727066584209442</v>
      </c>
      <c r="W43" s="67">
        <f t="shared" si="19"/>
        <v>0.82785714285714274</v>
      </c>
      <c r="X43" s="67">
        <f t="shared" si="19"/>
        <v>0.83756105006105008</v>
      </c>
      <c r="Y43" s="72">
        <f t="shared" si="19"/>
        <v>0.80208333333333337</v>
      </c>
      <c r="Z43" s="78">
        <f t="shared" si="19"/>
        <v>0.81975575350575325</v>
      </c>
      <c r="AA43" s="73">
        <f t="shared" si="19"/>
        <v>0.82414965986394562</v>
      </c>
      <c r="AB43" s="67">
        <f t="shared" si="19"/>
        <v>0.8520408163265305</v>
      </c>
      <c r="AC43" s="67">
        <f t="shared" si="19"/>
        <v>0.78273809523809523</v>
      </c>
      <c r="AD43" s="72">
        <f t="shared" si="19"/>
        <v>0.7966490299823632</v>
      </c>
      <c r="AE43" s="78">
        <v>0.81</v>
      </c>
      <c r="AF43" s="73">
        <f t="shared" si="19"/>
        <v>0.86206896551724155</v>
      </c>
      <c r="AG43" s="67">
        <f t="shared" si="19"/>
        <v>0.84666666666666657</v>
      </c>
      <c r="AH43" s="67">
        <f t="shared" si="19"/>
        <v>0.84458393458393466</v>
      </c>
      <c r="AI43" s="72">
        <f t="shared" si="19"/>
        <v>0.84811111111111115</v>
      </c>
      <c r="AJ43" s="78">
        <f t="shared" si="19"/>
        <v>0.84974446849446872</v>
      </c>
      <c r="AK43" s="73">
        <f t="shared" si="19"/>
        <v>0.8736666666666667</v>
      </c>
      <c r="AL43" s="67">
        <f t="shared" si="19"/>
        <v>0.89199999999999979</v>
      </c>
      <c r="AM43" s="67">
        <f t="shared" si="19"/>
        <v>0.93633333333333335</v>
      </c>
      <c r="AN43" s="72">
        <f t="shared" si="19"/>
        <v>0.95100000000000007</v>
      </c>
      <c r="AO43" s="89">
        <f t="shared" si="19"/>
        <v>0.91325000000000001</v>
      </c>
      <c r="AP43" s="73">
        <f t="shared" si="19"/>
        <v>0.9019999999999998</v>
      </c>
      <c r="AQ43" s="67">
        <f t="shared" si="19"/>
        <v>0.88800000000000001</v>
      </c>
      <c r="AR43" s="67">
        <f t="shared" si="19"/>
        <v>0.92166666666666675</v>
      </c>
      <c r="AS43" s="72">
        <f t="shared" si="19"/>
        <v>0.90801587301587317</v>
      </c>
      <c r="AT43" s="89">
        <v>0.91</v>
      </c>
      <c r="AU43" s="73">
        <f t="shared" ref="AU43" si="20">AVERAGE(AU1:AU41)</f>
        <v>0.83366666666666667</v>
      </c>
      <c r="AV43" s="67">
        <f t="shared" si="19"/>
        <v>0.90137931034482743</v>
      </c>
      <c r="AW43" s="67">
        <f t="shared" si="19"/>
        <v>0.93275862068965509</v>
      </c>
      <c r="AX43" s="72">
        <f t="shared" si="19"/>
        <v>0.90896551724137931</v>
      </c>
      <c r="AY43" s="89">
        <f>AVERAGE(AY4:AY5,AY8,AY9,AY10,AY11,AY12,AY13,AY15,AY16,AY17,AY19,AY20,AY22,AY23,AY24,AY25,AY26,AY27,AY28,AY30,AY31,AY32,AY33,AY34,AY35,AY38,AY39,AY41)</f>
        <v>0.89275862068965528</v>
      </c>
      <c r="AZ43" s="91">
        <f>AVERAGE(AZ4:AZ5,AZ8,AZ9,AZ10,AZ11,AZ12,AZ13,AZ15,AZ16,AZ17,AZ19,AZ20,AZ22,AZ23,AZ24,AZ25,AZ26,AZ27,AZ28,AZ30,AZ31,AZ32,AZ33,AZ34,AZ35,AZ38,AZ39,AZ41)</f>
        <v>0.92137931034482767</v>
      </c>
      <c r="BA43" s="91">
        <f>AVERAGE(BA4:BA5,BA8,BA9,BA10,BA11,BA12,BA13,BA15,BA16,BA17,BA19,BA20,BA22,BA23,BA24,BA25,BA26,BA27,BA28,BA30,BA31,BA32,BA33,BA34,BA35,BA38,BA39,BA41)</f>
        <v>0.92</v>
      </c>
    </row>
    <row r="45" spans="1:54" ht="20.149999999999999" customHeight="1" thickBot="1" x14ac:dyDescent="0.4"/>
    <row r="46" spans="1:54" ht="31.5" customHeight="1" thickTop="1" x14ac:dyDescent="0.35">
      <c r="A46" s="99" t="s">
        <v>94</v>
      </c>
      <c r="B46" s="100"/>
      <c r="C46" s="100"/>
      <c r="D46" s="100"/>
      <c r="E46" s="100"/>
      <c r="F46" s="100"/>
      <c r="G46" s="100"/>
      <c r="H46" s="101"/>
      <c r="AR46" s="61"/>
    </row>
    <row r="47" spans="1:54" ht="29.25" customHeight="1" x14ac:dyDescent="0.35">
      <c r="A47" s="74"/>
      <c r="B47" s="106" t="s">
        <v>57</v>
      </c>
      <c r="C47" s="106"/>
      <c r="D47" s="106"/>
      <c r="E47" s="106"/>
      <c r="F47" s="106"/>
      <c r="G47" s="106"/>
      <c r="H47" s="107"/>
    </row>
    <row r="48" spans="1:54" ht="43.5" customHeight="1" x14ac:dyDescent="0.35">
      <c r="A48" s="74"/>
      <c r="B48" s="106" t="s">
        <v>58</v>
      </c>
      <c r="C48" s="106"/>
      <c r="D48" s="106"/>
      <c r="E48" s="106"/>
      <c r="F48" s="106"/>
      <c r="G48" s="106"/>
      <c r="H48" s="107"/>
    </row>
    <row r="49" spans="1:8" ht="18.75" customHeight="1" thickBot="1" x14ac:dyDescent="0.4">
      <c r="A49" s="75"/>
      <c r="B49" s="76"/>
      <c r="C49" s="76"/>
      <c r="D49" s="76"/>
      <c r="E49" s="76"/>
      <c r="F49" s="76"/>
      <c r="G49" s="76"/>
      <c r="H49" s="77"/>
    </row>
    <row r="50" spans="1:8" ht="31.5" customHeight="1" thickTop="1" x14ac:dyDescent="0.35">
      <c r="A50" s="99" t="s">
        <v>93</v>
      </c>
      <c r="B50" s="100"/>
      <c r="C50" s="100"/>
      <c r="D50" s="100"/>
      <c r="E50" s="100"/>
      <c r="F50" s="100"/>
      <c r="G50" s="100"/>
      <c r="H50" s="101"/>
    </row>
    <row r="51" spans="1:8" ht="36.75" customHeight="1" x14ac:dyDescent="0.35">
      <c r="A51" s="74"/>
      <c r="B51" s="108" t="s">
        <v>59</v>
      </c>
      <c r="C51" s="108"/>
      <c r="D51" s="108"/>
      <c r="E51" s="108"/>
      <c r="F51" s="108"/>
      <c r="G51" s="108"/>
      <c r="H51" s="109"/>
    </row>
    <row r="52" spans="1:8" ht="61.5" customHeight="1" thickBot="1" x14ac:dyDescent="0.4">
      <c r="A52" s="75"/>
      <c r="B52" s="110" t="s">
        <v>60</v>
      </c>
      <c r="C52" s="110"/>
      <c r="D52" s="110"/>
      <c r="E52" s="110"/>
      <c r="F52" s="110"/>
      <c r="G52" s="110"/>
      <c r="H52" s="111"/>
    </row>
    <row r="53" spans="1:8" ht="20.149999999999999" customHeight="1" thickTop="1" x14ac:dyDescent="0.35"/>
  </sheetData>
  <mergeCells count="11">
    <mergeCell ref="B47:H47"/>
    <mergeCell ref="B48:H48"/>
    <mergeCell ref="A50:H50"/>
    <mergeCell ref="B51:H51"/>
    <mergeCell ref="B52:H52"/>
    <mergeCell ref="B35:G35"/>
    <mergeCell ref="B17:G17"/>
    <mergeCell ref="A46:H46"/>
    <mergeCell ref="C36:H36"/>
    <mergeCell ref="C37:H37"/>
    <mergeCell ref="B43:H43"/>
  </mergeCells>
  <phoneticPr fontId="9" type="noConversion"/>
  <conditionalFormatting sqref="U44:AJ1048576 U1:AJ42 U43:BA43">
    <cfRule type="iconSet" priority="51">
      <iconSet>
        <cfvo type="percent" val="0"/>
        <cfvo type="num" val="0.8"/>
        <cfvo type="num" val="0.9"/>
      </iconSet>
    </cfRule>
  </conditionalFormatting>
  <conditionalFormatting sqref="AD44:AD1048576 AD1:AD41">
    <cfRule type="iconSet" priority="46">
      <iconSet>
        <cfvo type="percent" val="0"/>
        <cfvo type="percent" val="80"/>
        <cfvo type="percent" val="90"/>
      </iconSet>
    </cfRule>
  </conditionalFormatting>
  <conditionalFormatting sqref="AE9">
    <cfRule type="iconSet" priority="44">
      <iconSet>
        <cfvo type="percent" val="0"/>
        <cfvo type="percent" val="80"/>
        <cfvo type="percent" val="90"/>
      </iconSet>
    </cfRule>
  </conditionalFormatting>
  <conditionalFormatting sqref="AE44:AE1048576 AE1:AE8 AE10:AE41">
    <cfRule type="iconSet" priority="45">
      <iconSet>
        <cfvo type="percent" val="0"/>
        <cfvo type="percent" val="80"/>
        <cfvo type="percent" val="90"/>
      </iconSet>
    </cfRule>
  </conditionalFormatting>
  <conditionalFormatting sqref="AF2:AG2">
    <cfRule type="iconSet" priority="35">
      <iconSet>
        <cfvo type="percent" val="0"/>
        <cfvo type="percent" val="80"/>
        <cfvo type="percent" val="90"/>
      </iconSet>
    </cfRule>
  </conditionalFormatting>
  <conditionalFormatting sqref="AH2:AI2">
    <cfRule type="iconSet" priority="27">
      <iconSet>
        <cfvo type="percent" val="0"/>
        <cfvo type="percent" val="80"/>
        <cfvo type="percent" val="90"/>
      </iconSet>
    </cfRule>
  </conditionalFormatting>
  <conditionalFormatting sqref="AJ2">
    <cfRule type="iconSet" priority="17">
      <iconSet>
        <cfvo type="percent" val="0"/>
        <cfvo type="percent" val="80"/>
        <cfvo type="percent" val="90"/>
      </iconSet>
    </cfRule>
  </conditionalFormatting>
  <conditionalFormatting sqref="AK44:AO1048576 AK1:AO42">
    <cfRule type="iconSet" priority="9">
      <iconSet>
        <cfvo type="percent" val="0"/>
        <cfvo type="num" val="0.8"/>
        <cfvo type="num" val="0.9"/>
      </iconSet>
    </cfRule>
  </conditionalFormatting>
  <conditionalFormatting sqref="AK2:BA2">
    <cfRule type="iconSet" priority="8">
      <iconSet>
        <cfvo type="percent" val="0"/>
        <cfvo type="percent" val="80"/>
        <cfvo type="percent" val="90"/>
      </iconSet>
    </cfRule>
  </conditionalFormatting>
  <conditionalFormatting sqref="AP7:AR9 AS8:AS9 AP10:AS42 AP2:AS6 AW4:AW42 AT2:AV42 AW2:AY2 AZ2:AZ42">
    <cfRule type="iconSet" priority="6">
      <iconSet>
        <cfvo type="percent" val="0"/>
        <cfvo type="num" val="0.8"/>
        <cfvo type="num" val="0.9"/>
      </iconSet>
    </cfRule>
  </conditionalFormatting>
  <conditionalFormatting sqref="AP2:BA2">
    <cfRule type="iconSet" priority="5">
      <iconSet>
        <cfvo type="percent" val="0"/>
        <cfvo type="num" val="0.8"/>
        <cfvo type="num" val="0.9"/>
      </iconSet>
    </cfRule>
  </conditionalFormatting>
  <conditionalFormatting sqref="AX4:AX42">
    <cfRule type="iconSet" priority="4">
      <iconSet>
        <cfvo type="percent" val="0"/>
        <cfvo type="num" val="0.8"/>
        <cfvo type="num" val="0.9"/>
      </iconSet>
    </cfRule>
  </conditionalFormatting>
  <conditionalFormatting sqref="AY4:AY42">
    <cfRule type="iconSet" priority="3">
      <iconSet>
        <cfvo type="percent" val="0"/>
        <cfvo type="num" val="0.8"/>
        <cfvo type="num" val="0.9"/>
      </iconSet>
    </cfRule>
  </conditionalFormatting>
  <conditionalFormatting sqref="BA2:BA42">
    <cfRule type="iconSet" priority="1">
      <iconSet>
        <cfvo type="percent" val="0"/>
        <cfvo type="num" val="0.8"/>
        <cfvo type="num" val="0.9"/>
      </iconSet>
    </cfRule>
  </conditionalFormatting>
  <pageMargins left="0.7" right="0.7" top="0.75" bottom="0.75" header="0.3" footer="0.3"/>
  <pageSetup paperSize="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Sheet1!_Hlk208238473</vt:lpstr>
    </vt:vector>
  </TitlesOfParts>
  <Company>Humboldt County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gguidry</dc:creator>
  <cp:lastModifiedBy>Berry, Scott</cp:lastModifiedBy>
  <cp:lastPrinted>2016-11-15T15:59:03Z</cp:lastPrinted>
  <dcterms:created xsi:type="dcterms:W3CDTF">2016-06-15T21:30:32Z</dcterms:created>
  <dcterms:modified xsi:type="dcterms:W3CDTF">2026-02-25T16:40:48Z</dcterms:modified>
</cp:coreProperties>
</file>